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aTown of Pomfret\04 - Selectboard\2023-11-29 - Special Meeting\Agenda\"/>
    </mc:Choice>
  </mc:AlternateContent>
  <xr:revisionPtr revIDLastSave="0" documentId="8_{DADE7C5D-B2A2-4FEF-9650-4CB3AE92EFE7}" xr6:coauthVersionLast="47" xr6:coauthVersionMax="47" xr10:uidLastSave="{00000000-0000-0000-0000-000000000000}"/>
  <bookViews>
    <workbookView xWindow="1200" yWindow="30" windowWidth="20130" windowHeight="15420" tabRatio="716" xr2:uid="{00000000-000D-0000-FFFF-FFFF00000000}"/>
  </bookViews>
  <sheets>
    <sheet name="General Account Summary" sheetId="4" r:id="rId1"/>
    <sheet name="Highway Account Summary" sheetId="5" r:id="rId2"/>
    <sheet name="General Account Detail" sheetId="1" r:id="rId3"/>
    <sheet name="Highway Account Detail" sheetId="3" r:id="rId4"/>
    <sheet name="Calculation of FY 2024 Tax" sheetId="14" r:id="rId5"/>
  </sheets>
  <definedNames>
    <definedName name="_xlnm.Print_Area" localSheetId="4">'Calculation of FY 2024 Tax'!$A$1:$D$19</definedName>
    <definedName name="_xlnm.Print_Area" localSheetId="2">'General Account Detail'!$A$1:$H$273</definedName>
    <definedName name="_xlnm.Print_Area" localSheetId="0">'General Account Summary'!$A$1:$H$58</definedName>
    <definedName name="_xlnm.Print_Area" localSheetId="3">'Highway Account Detail'!$A$1:$H$117</definedName>
    <definedName name="_xlnm.Print_Area" localSheetId="1">'Highway Account Summary'!$A$1:$H$38</definedName>
    <definedName name="_xlnm.Print_Titles" localSheetId="2">'General Account Detail'!$1:$2</definedName>
    <definedName name="_xlnm.Print_Titles" localSheetId="0">'General Account Summary'!$1:$2</definedName>
    <definedName name="_xlnm.Print_Titles" localSheetId="3">'Highway Account Detail'!$1:$2</definedName>
    <definedName name="_xlnm.Print_Titles" localSheetId="1">'Highway Account Summary'!$1:$2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4" l="1"/>
  <c r="C6" i="14"/>
  <c r="D6" i="14"/>
  <c r="D12" i="14"/>
  <c r="D5" i="14"/>
  <c r="D4" i="14"/>
  <c r="A38" i="5"/>
  <c r="A36" i="5"/>
  <c r="A35" i="5"/>
  <c r="A34" i="5"/>
  <c r="A32" i="5"/>
  <c r="C28" i="3" l="1"/>
  <c r="C85" i="1"/>
  <c r="C110" i="1"/>
  <c r="C109" i="1"/>
  <c r="C76" i="1"/>
  <c r="C78" i="3"/>
  <c r="C27" i="3" l="1"/>
  <c r="C26" i="3"/>
  <c r="D263" i="1"/>
  <c r="C263" i="1" l="1"/>
  <c r="H24" i="14" l="1"/>
  <c r="H18" i="14"/>
  <c r="H14" i="14"/>
  <c r="H7" i="14"/>
  <c r="H17" i="14" s="1"/>
  <c r="H19" i="14" s="1"/>
  <c r="B273" i="1" l="1"/>
  <c r="B117" i="3"/>
  <c r="A70" i="3"/>
  <c r="A71" i="3" s="1"/>
  <c r="A72" i="3" s="1"/>
  <c r="A73" i="3" s="1"/>
  <c r="A74" i="3" s="1"/>
  <c r="D18" i="3"/>
  <c r="C32" i="3"/>
  <c r="C31" i="3"/>
  <c r="C24" i="3"/>
  <c r="B10" i="14" l="1"/>
  <c r="D107" i="3" l="1"/>
  <c r="D101" i="3"/>
  <c r="D93" i="3"/>
  <c r="D86" i="3"/>
  <c r="D78" i="3"/>
  <c r="D74" i="3"/>
  <c r="D58" i="3"/>
  <c r="D42" i="3"/>
  <c r="D24" i="3"/>
  <c r="D23" i="3"/>
  <c r="G18" i="3"/>
  <c r="H18" i="3"/>
  <c r="F35" i="3"/>
  <c r="G35" i="3"/>
  <c r="H35" i="3"/>
  <c r="F42" i="3"/>
  <c r="G42" i="3"/>
  <c r="H42" i="3"/>
  <c r="F58" i="3"/>
  <c r="G58" i="3"/>
  <c r="H58" i="3"/>
  <c r="F74" i="3"/>
  <c r="G74" i="3"/>
  <c r="H74" i="3"/>
  <c r="F78" i="3"/>
  <c r="G78" i="3"/>
  <c r="H78" i="3"/>
  <c r="F86" i="3"/>
  <c r="G86" i="3"/>
  <c r="H86" i="3"/>
  <c r="F93" i="3"/>
  <c r="G93" i="3"/>
  <c r="H93" i="3"/>
  <c r="F101" i="3"/>
  <c r="G101" i="3"/>
  <c r="H101" i="3"/>
  <c r="F107" i="3"/>
  <c r="G107" i="3"/>
  <c r="H107" i="3"/>
  <c r="D238" i="1"/>
  <c r="D231" i="1"/>
  <c r="D225" i="1"/>
  <c r="D220" i="1"/>
  <c r="D215" i="1"/>
  <c r="D208" i="1"/>
  <c r="D176" i="1"/>
  <c r="D165" i="1"/>
  <c r="D157" i="1"/>
  <c r="D148" i="1"/>
  <c r="D141" i="1"/>
  <c r="D136" i="1"/>
  <c r="D119" i="1"/>
  <c r="D101" i="1"/>
  <c r="D91" i="1"/>
  <c r="D82" i="1"/>
  <c r="D69" i="1"/>
  <c r="D65" i="1"/>
  <c r="D59" i="1"/>
  <c r="D52" i="1"/>
  <c r="D46" i="1"/>
  <c r="D31" i="1"/>
  <c r="D26" i="1"/>
  <c r="D21" i="1"/>
  <c r="H6" i="1"/>
  <c r="G11" i="1"/>
  <c r="F21" i="1"/>
  <c r="G21" i="1"/>
  <c r="H21" i="1"/>
  <c r="F26" i="1"/>
  <c r="G26" i="1"/>
  <c r="H26" i="1"/>
  <c r="F31" i="1"/>
  <c r="G31" i="1"/>
  <c r="H31" i="1"/>
  <c r="F46" i="1"/>
  <c r="G46" i="1"/>
  <c r="H46" i="1"/>
  <c r="F52" i="1"/>
  <c r="G52" i="1"/>
  <c r="H52" i="1"/>
  <c r="F59" i="1"/>
  <c r="G59" i="1"/>
  <c r="H59" i="1"/>
  <c r="F65" i="1"/>
  <c r="G65" i="1"/>
  <c r="H65" i="1"/>
  <c r="F69" i="1"/>
  <c r="G69" i="1"/>
  <c r="H69" i="1"/>
  <c r="F82" i="1"/>
  <c r="G82" i="1"/>
  <c r="H82" i="1"/>
  <c r="G87" i="1"/>
  <c r="G91" i="1" s="1"/>
  <c r="F91" i="1"/>
  <c r="H91" i="1"/>
  <c r="F101" i="1"/>
  <c r="G101" i="1"/>
  <c r="H101" i="1"/>
  <c r="F119" i="1"/>
  <c r="G119" i="1"/>
  <c r="H119" i="1"/>
  <c r="F136" i="1"/>
  <c r="G136" i="1"/>
  <c r="H136" i="1"/>
  <c r="F141" i="1"/>
  <c r="G141" i="1"/>
  <c r="H141" i="1"/>
  <c r="F148" i="1"/>
  <c r="G148" i="1"/>
  <c r="H148" i="1"/>
  <c r="F157" i="1"/>
  <c r="G157" i="1"/>
  <c r="H157" i="1"/>
  <c r="F165" i="1"/>
  <c r="G165" i="1"/>
  <c r="H165" i="1"/>
  <c r="F176" i="1"/>
  <c r="G176" i="1"/>
  <c r="H176" i="1"/>
  <c r="F208" i="1"/>
  <c r="G208" i="1"/>
  <c r="H208" i="1"/>
  <c r="F215" i="1"/>
  <c r="G215" i="1"/>
  <c r="H215" i="1"/>
  <c r="F220" i="1"/>
  <c r="G220" i="1"/>
  <c r="H220" i="1"/>
  <c r="F225" i="1"/>
  <c r="G225" i="1"/>
  <c r="H225" i="1"/>
  <c r="F231" i="1"/>
  <c r="G231" i="1"/>
  <c r="H231" i="1"/>
  <c r="F238" i="1"/>
  <c r="G238" i="1"/>
  <c r="H238" i="1"/>
  <c r="F263" i="1"/>
  <c r="G263" i="1"/>
  <c r="H263" i="1"/>
  <c r="G71" i="1" l="1"/>
  <c r="G109" i="3"/>
  <c r="G111" i="3" s="1"/>
  <c r="G114" i="3" s="1"/>
  <c r="F109" i="3"/>
  <c r="D35" i="3"/>
  <c r="D109" i="3" s="1"/>
  <c r="D111" i="3" s="1"/>
  <c r="H109" i="3"/>
  <c r="H111" i="3" s="1"/>
  <c r="F242" i="1"/>
  <c r="F265" i="1" s="1"/>
  <c r="H242" i="1"/>
  <c r="H265" i="1" s="1"/>
  <c r="G242" i="1"/>
  <c r="G265" i="1" s="1"/>
  <c r="D242" i="1"/>
  <c r="D265" i="1" s="1"/>
  <c r="G267" i="1" l="1"/>
  <c r="G270" i="1" s="1"/>
  <c r="F269" i="1" s="1"/>
  <c r="G115" i="3"/>
  <c r="F113" i="3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G271" i="1" l="1"/>
  <c r="F18" i="3"/>
  <c r="F10" i="1"/>
  <c r="F11" i="1" s="1"/>
  <c r="F71" i="1" l="1"/>
  <c r="F267" i="1" s="1"/>
  <c r="F111" i="3"/>
  <c r="F114" i="3" s="1"/>
  <c r="F115" i="3" s="1"/>
  <c r="F270" i="1" l="1"/>
  <c r="F271" i="1" s="1"/>
  <c r="E10" i="4" l="1"/>
  <c r="E9" i="4"/>
  <c r="D9" i="4"/>
  <c r="C9" i="4"/>
  <c r="E8" i="4"/>
  <c r="D8" i="4"/>
  <c r="C8" i="4"/>
  <c r="E7" i="4"/>
  <c r="D7" i="4"/>
  <c r="C7" i="4"/>
  <c r="E6" i="4"/>
  <c r="E2" i="4"/>
  <c r="D2" i="4"/>
  <c r="C2" i="4"/>
  <c r="E1" i="4"/>
  <c r="D1" i="4"/>
  <c r="C1" i="4"/>
  <c r="E16" i="5"/>
  <c r="D16" i="5"/>
  <c r="C16" i="5"/>
  <c r="E15" i="5"/>
  <c r="D15" i="5"/>
  <c r="C15" i="5"/>
  <c r="E7" i="5"/>
  <c r="D7" i="5"/>
  <c r="C7" i="5"/>
  <c r="E6" i="5"/>
  <c r="D6" i="5"/>
  <c r="C6" i="5"/>
  <c r="E5" i="5"/>
  <c r="E2" i="5"/>
  <c r="D2" i="5"/>
  <c r="C2" i="5"/>
  <c r="E1" i="5"/>
  <c r="D1" i="5"/>
  <c r="C1" i="5"/>
  <c r="E263" i="1"/>
  <c r="E48" i="4" s="1"/>
  <c r="D48" i="4"/>
  <c r="C48" i="4" l="1"/>
  <c r="E113" i="3" l="1"/>
  <c r="E34" i="5" s="1"/>
  <c r="E93" i="3"/>
  <c r="E27" i="5" s="1"/>
  <c r="D13" i="14" l="1"/>
  <c r="E101" i="3" l="1"/>
  <c r="E28" i="5" s="1"/>
  <c r="D28" i="5"/>
  <c r="C101" i="3"/>
  <c r="C28" i="5" s="1"/>
  <c r="E58" i="3"/>
  <c r="E23" i="5" s="1"/>
  <c r="C58" i="3"/>
  <c r="C23" i="5" s="1"/>
  <c r="E35" i="3"/>
  <c r="E21" i="5" s="1"/>
  <c r="D21" i="5"/>
  <c r="E231" i="1"/>
  <c r="E44" i="4" s="1"/>
  <c r="D44" i="4"/>
  <c r="C231" i="1"/>
  <c r="C44" i="4" s="1"/>
  <c r="E208" i="1"/>
  <c r="E40" i="4" s="1"/>
  <c r="C91" i="1"/>
  <c r="C31" i="4" s="1"/>
  <c r="E141" i="1"/>
  <c r="E35" i="4" s="1"/>
  <c r="D35" i="4"/>
  <c r="C141" i="1"/>
  <c r="C35" i="4" s="1"/>
  <c r="E82" i="1"/>
  <c r="E30" i="4" s="1"/>
  <c r="E65" i="1" l="1"/>
  <c r="E21" i="4" s="1"/>
  <c r="D21" i="4"/>
  <c r="C65" i="1"/>
  <c r="C21" i="4" s="1"/>
  <c r="E46" i="1"/>
  <c r="E18" i="4" s="1"/>
  <c r="B58" i="4" l="1"/>
  <c r="E107" i="3"/>
  <c r="E29" i="5" s="1"/>
  <c r="C107" i="3"/>
  <c r="C29" i="5" s="1"/>
  <c r="C93" i="3"/>
  <c r="C27" i="5" s="1"/>
  <c r="E86" i="3"/>
  <c r="E26" i="5" s="1"/>
  <c r="C86" i="3"/>
  <c r="C26" i="5" s="1"/>
  <c r="E78" i="3"/>
  <c r="E25" i="5" s="1"/>
  <c r="C25" i="5"/>
  <c r="E74" i="3"/>
  <c r="E24" i="5" s="1"/>
  <c r="C74" i="3"/>
  <c r="C24" i="5" s="1"/>
  <c r="E42" i="3"/>
  <c r="E22" i="5" s="1"/>
  <c r="C42" i="3"/>
  <c r="C22" i="5" s="1"/>
  <c r="E18" i="3"/>
  <c r="E17" i="5" s="1"/>
  <c r="E238" i="1"/>
  <c r="E45" i="4" s="1"/>
  <c r="C238" i="1"/>
  <c r="C45" i="4" s="1"/>
  <c r="E225" i="1"/>
  <c r="E43" i="4" s="1"/>
  <c r="C225" i="1"/>
  <c r="C43" i="4" s="1"/>
  <c r="E220" i="1"/>
  <c r="E42" i="4" s="1"/>
  <c r="C220" i="1"/>
  <c r="C42" i="4" s="1"/>
  <c r="E215" i="1"/>
  <c r="E41" i="4" s="1"/>
  <c r="C215" i="1"/>
  <c r="C41" i="4" s="1"/>
  <c r="C208" i="1"/>
  <c r="C40" i="4" s="1"/>
  <c r="E176" i="1"/>
  <c r="E39" i="4" s="1"/>
  <c r="C176" i="1"/>
  <c r="C39" i="4" s="1"/>
  <c r="E165" i="1"/>
  <c r="E38" i="4" s="1"/>
  <c r="C165" i="1"/>
  <c r="C38" i="4" s="1"/>
  <c r="E157" i="1"/>
  <c r="E37" i="4" s="1"/>
  <c r="C157" i="1"/>
  <c r="C37" i="4" s="1"/>
  <c r="E148" i="1"/>
  <c r="E36" i="4" s="1"/>
  <c r="C148" i="1"/>
  <c r="C36" i="4" s="1"/>
  <c r="E136" i="1"/>
  <c r="E34" i="4" s="1"/>
  <c r="C136" i="1"/>
  <c r="C34" i="4" s="1"/>
  <c r="E119" i="1"/>
  <c r="E33" i="4" s="1"/>
  <c r="C119" i="1"/>
  <c r="C33" i="4" s="1"/>
  <c r="E11" i="1"/>
  <c r="E21" i="1"/>
  <c r="E15" i="4" s="1"/>
  <c r="E26" i="1"/>
  <c r="E16" i="4" s="1"/>
  <c r="E31" i="1"/>
  <c r="E17" i="4" s="1"/>
  <c r="E52" i="1"/>
  <c r="E19" i="4" s="1"/>
  <c r="E59" i="1"/>
  <c r="E20" i="4" s="1"/>
  <c r="E69" i="1"/>
  <c r="E22" i="4" s="1"/>
  <c r="C69" i="1"/>
  <c r="C22" i="4" s="1"/>
  <c r="E91" i="1"/>
  <c r="E31" i="4" s="1"/>
  <c r="E101" i="1"/>
  <c r="E32" i="4" s="1"/>
  <c r="C101" i="1"/>
  <c r="C32" i="4" s="1"/>
  <c r="C82" i="1"/>
  <c r="C30" i="4" s="1"/>
  <c r="C59" i="1"/>
  <c r="C20" i="4" s="1"/>
  <c r="C52" i="1"/>
  <c r="C19" i="4" s="1"/>
  <c r="C46" i="1"/>
  <c r="C18" i="4" s="1"/>
  <c r="C31" i="1"/>
  <c r="C17" i="4" s="1"/>
  <c r="C26" i="1"/>
  <c r="C16" i="4" s="1"/>
  <c r="C21" i="1"/>
  <c r="E269" i="1"/>
  <c r="E54" i="4" s="1"/>
  <c r="E71" i="1" l="1"/>
  <c r="C15" i="4"/>
  <c r="C23" i="4" s="1"/>
  <c r="E11" i="4"/>
  <c r="E25" i="4"/>
  <c r="E23" i="4"/>
  <c r="E109" i="3"/>
  <c r="E242" i="1"/>
  <c r="C242" i="1"/>
  <c r="E111" i="3" l="1"/>
  <c r="E30" i="5"/>
  <c r="C4" i="14"/>
  <c r="C46" i="4"/>
  <c r="C265" i="1"/>
  <c r="E265" i="1"/>
  <c r="E50" i="4" s="1"/>
  <c r="E46" i="4"/>
  <c r="C50" i="4" l="1"/>
  <c r="E114" i="3"/>
  <c r="D113" i="3" s="1"/>
  <c r="D114" i="3" s="1"/>
  <c r="E32" i="5"/>
  <c r="E267" i="1"/>
  <c r="E270" i="1" s="1"/>
  <c r="D269" i="1" s="1"/>
  <c r="D34" i="5" l="1"/>
  <c r="C113" i="3"/>
  <c r="E271" i="1"/>
  <c r="E56" i="4" s="1"/>
  <c r="D54" i="4"/>
  <c r="E52" i="4"/>
  <c r="E35" i="5"/>
  <c r="E115" i="3"/>
  <c r="E36" i="5" s="1"/>
  <c r="E55" i="4"/>
  <c r="D115" i="3" l="1"/>
  <c r="D36" i="5" s="1"/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D10" i="14"/>
  <c r="D11" i="14"/>
  <c r="B17" i="14"/>
  <c r="B18" i="14"/>
  <c r="D19" i="14"/>
  <c r="D45" i="4" l="1"/>
  <c r="B38" i="5" l="1"/>
  <c r="H29" i="5"/>
  <c r="G29" i="5"/>
  <c r="F29" i="5"/>
  <c r="D29" i="5"/>
  <c r="H28" i="5"/>
  <c r="G28" i="5"/>
  <c r="F28" i="5"/>
  <c r="H27" i="5"/>
  <c r="G27" i="5"/>
  <c r="F27" i="5"/>
  <c r="D27" i="5"/>
  <c r="H26" i="5"/>
  <c r="G26" i="5"/>
  <c r="F26" i="5"/>
  <c r="D26" i="5"/>
  <c r="H25" i="5"/>
  <c r="G25" i="5"/>
  <c r="F25" i="5"/>
  <c r="D25" i="5"/>
  <c r="H24" i="5"/>
  <c r="G24" i="5"/>
  <c r="F24" i="5"/>
  <c r="D24" i="5"/>
  <c r="H23" i="5"/>
  <c r="F23" i="5"/>
  <c r="D23" i="5"/>
  <c r="H22" i="5"/>
  <c r="G22" i="5"/>
  <c r="D22" i="5"/>
  <c r="G21" i="5"/>
  <c r="G17" i="5"/>
  <c r="F17" i="5"/>
  <c r="A3" i="3"/>
  <c r="A4" i="3" s="1"/>
  <c r="A5" i="3" s="1"/>
  <c r="A6" i="3" s="1"/>
  <c r="A7" i="3" s="1"/>
  <c r="A8" i="3" s="1"/>
  <c r="A9" i="3" s="1"/>
  <c r="A10" i="3" s="1"/>
  <c r="A11" i="3" s="1"/>
  <c r="H48" i="4"/>
  <c r="G48" i="4"/>
  <c r="F48" i="4"/>
  <c r="H45" i="4"/>
  <c r="H44" i="4"/>
  <c r="G44" i="4"/>
  <c r="F44" i="4"/>
  <c r="H43" i="4"/>
  <c r="G43" i="4"/>
  <c r="F43" i="4"/>
  <c r="D43" i="4"/>
  <c r="H42" i="4"/>
  <c r="G42" i="4"/>
  <c r="F42" i="4"/>
  <c r="D42" i="4"/>
  <c r="H41" i="4"/>
  <c r="G41" i="4"/>
  <c r="F41" i="4"/>
  <c r="D41" i="4"/>
  <c r="G40" i="4"/>
  <c r="F40" i="4"/>
  <c r="D40" i="4"/>
  <c r="H39" i="4"/>
  <c r="G39" i="4"/>
  <c r="F39" i="4"/>
  <c r="D39" i="4"/>
  <c r="H38" i="4"/>
  <c r="G38" i="4"/>
  <c r="F38" i="4"/>
  <c r="D38" i="4"/>
  <c r="H37" i="4"/>
  <c r="G37" i="4"/>
  <c r="F37" i="4"/>
  <c r="D37" i="4"/>
  <c r="H36" i="4"/>
  <c r="G36" i="4"/>
  <c r="F36" i="4"/>
  <c r="D36" i="4"/>
  <c r="H35" i="4"/>
  <c r="G35" i="4"/>
  <c r="F35" i="4"/>
  <c r="H34" i="4"/>
  <c r="G34" i="4"/>
  <c r="F34" i="4"/>
  <c r="D34" i="4"/>
  <c r="H33" i="4"/>
  <c r="G33" i="4"/>
  <c r="F33" i="4"/>
  <c r="D33" i="4"/>
  <c r="H32" i="4"/>
  <c r="G32" i="4"/>
  <c r="F32" i="4"/>
  <c r="D32" i="4"/>
  <c r="H31" i="4"/>
  <c r="G31" i="4"/>
  <c r="F31" i="4"/>
  <c r="D31" i="4"/>
  <c r="H30" i="4"/>
  <c r="G30" i="4"/>
  <c r="F30" i="4"/>
  <c r="D30" i="4"/>
  <c r="H22" i="4"/>
  <c r="G22" i="4"/>
  <c r="F22" i="4"/>
  <c r="D22" i="4"/>
  <c r="H21" i="4"/>
  <c r="G21" i="4"/>
  <c r="F21" i="4"/>
  <c r="H20" i="4"/>
  <c r="G20" i="4"/>
  <c r="F20" i="4"/>
  <c r="D20" i="4"/>
  <c r="H19" i="4"/>
  <c r="G19" i="4"/>
  <c r="F19" i="4"/>
  <c r="D19" i="4"/>
  <c r="H18" i="4"/>
  <c r="G18" i="4"/>
  <c r="F18" i="4"/>
  <c r="D18" i="4"/>
  <c r="H17" i="4"/>
  <c r="G17" i="4"/>
  <c r="F17" i="4"/>
  <c r="D17" i="4"/>
  <c r="H16" i="4"/>
  <c r="G16" i="4"/>
  <c r="F16" i="4"/>
  <c r="D16" i="4"/>
  <c r="H15" i="4"/>
  <c r="G15" i="4"/>
  <c r="F15" i="4"/>
  <c r="D15" i="4"/>
  <c r="F10" i="4"/>
  <c r="F6" i="4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B36" i="5"/>
  <c r="B35" i="5"/>
  <c r="B34" i="5"/>
  <c r="B32" i="5"/>
  <c r="B30" i="5"/>
  <c r="B5" i="14" s="1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F22" i="5"/>
  <c r="B22" i="5"/>
  <c r="A22" i="5"/>
  <c r="F21" i="5"/>
  <c r="B21" i="5"/>
  <c r="A21" i="5"/>
  <c r="B17" i="5"/>
  <c r="B11" i="14" s="1"/>
  <c r="A17" i="5"/>
  <c r="H16" i="5"/>
  <c r="G16" i="5"/>
  <c r="F16" i="5"/>
  <c r="B16" i="5"/>
  <c r="A16" i="5"/>
  <c r="H15" i="5"/>
  <c r="G15" i="5"/>
  <c r="F15" i="5"/>
  <c r="B15" i="5"/>
  <c r="A15" i="5"/>
  <c r="H7" i="5"/>
  <c r="G7" i="5"/>
  <c r="F7" i="5"/>
  <c r="B7" i="5"/>
  <c r="A7" i="5"/>
  <c r="H6" i="5"/>
  <c r="G6" i="5"/>
  <c r="F6" i="5"/>
  <c r="B6" i="5"/>
  <c r="A6" i="5"/>
  <c r="G5" i="5"/>
  <c r="F5" i="5"/>
  <c r="B5" i="5"/>
  <c r="A5" i="5"/>
  <c r="H2" i="5"/>
  <c r="G2" i="5"/>
  <c r="F2" i="5"/>
  <c r="H1" i="5"/>
  <c r="G1" i="5"/>
  <c r="F1" i="5"/>
  <c r="B1" i="5"/>
  <c r="A58" i="4"/>
  <c r="B56" i="4"/>
  <c r="A56" i="4"/>
  <c r="B55" i="4"/>
  <c r="A55" i="4"/>
  <c r="B54" i="4"/>
  <c r="A54" i="4"/>
  <c r="B52" i="4"/>
  <c r="A52" i="4"/>
  <c r="B50" i="4"/>
  <c r="A50" i="4"/>
  <c r="B48" i="4"/>
  <c r="B6" i="14" s="1"/>
  <c r="A48" i="4"/>
  <c r="B46" i="4"/>
  <c r="B4" i="14" s="1"/>
  <c r="A46" i="4"/>
  <c r="G45" i="4"/>
  <c r="F45" i="4"/>
  <c r="B45" i="4"/>
  <c r="A45" i="4"/>
  <c r="B44" i="4"/>
  <c r="A44" i="4"/>
  <c r="B43" i="4"/>
  <c r="A43" i="4"/>
  <c r="B42" i="4"/>
  <c r="A42" i="4"/>
  <c r="B41" i="4"/>
  <c r="A41" i="4"/>
  <c r="H40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A25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2" i="4"/>
  <c r="A12" i="4"/>
  <c r="A11" i="4"/>
  <c r="G10" i="4"/>
  <c r="B10" i="4"/>
  <c r="A10" i="4"/>
  <c r="H9" i="4"/>
  <c r="G9" i="4"/>
  <c r="F9" i="4"/>
  <c r="B9" i="4"/>
  <c r="A9" i="4"/>
  <c r="H8" i="4"/>
  <c r="G8" i="4"/>
  <c r="F8" i="4"/>
  <c r="B8" i="4"/>
  <c r="A8" i="4"/>
  <c r="H7" i="4"/>
  <c r="G7" i="4"/>
  <c r="F7" i="4"/>
  <c r="B7" i="4"/>
  <c r="A7" i="4"/>
  <c r="H6" i="4"/>
  <c r="G6" i="4"/>
  <c r="B6" i="4"/>
  <c r="A6" i="4"/>
  <c r="B5" i="4"/>
  <c r="H2" i="4"/>
  <c r="G2" i="4"/>
  <c r="F2" i="4"/>
  <c r="H1" i="4"/>
  <c r="G1" i="4"/>
  <c r="F1" i="4"/>
  <c r="B1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D23" i="4"/>
  <c r="H30" i="5"/>
  <c r="F30" i="5"/>
  <c r="G30" i="5"/>
  <c r="H21" i="5"/>
  <c r="D30" i="5"/>
  <c r="G23" i="5"/>
  <c r="G25" i="4"/>
  <c r="F50" i="4"/>
  <c r="G50" i="4"/>
  <c r="G11" i="4"/>
  <c r="F23" i="4"/>
  <c r="G23" i="4"/>
  <c r="H23" i="4"/>
  <c r="A30" i="3" l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D50" i="4"/>
  <c r="D46" i="4"/>
  <c r="F32" i="5"/>
  <c r="G46" i="4"/>
  <c r="F46" i="4"/>
  <c r="G52" i="4"/>
  <c r="H46" i="4"/>
  <c r="F11" i="4"/>
  <c r="A89" i="3" l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G32" i="5"/>
  <c r="H50" i="4"/>
  <c r="F25" i="4"/>
  <c r="G34" i="5" l="1"/>
  <c r="H34" i="5"/>
  <c r="F52" i="4"/>
  <c r="G36" i="5" l="1"/>
  <c r="G35" i="5"/>
  <c r="H35" i="5"/>
  <c r="H36" i="5"/>
  <c r="H54" i="4" l="1"/>
  <c r="G54" i="4"/>
  <c r="F34" i="5"/>
  <c r="D5" i="5" l="1"/>
  <c r="D10" i="1"/>
  <c r="G56" i="4"/>
  <c r="G55" i="4"/>
  <c r="F36" i="5"/>
  <c r="F35" i="5"/>
  <c r="D11" i="1" l="1"/>
  <c r="D71" i="1" s="1"/>
  <c r="D6" i="4"/>
  <c r="F54" i="4"/>
  <c r="D10" i="4"/>
  <c r="D267" i="1" l="1"/>
  <c r="D32" i="5"/>
  <c r="D17" i="5"/>
  <c r="F56" i="4"/>
  <c r="F55" i="4"/>
  <c r="D270" i="1" l="1"/>
  <c r="C269" i="1" s="1"/>
  <c r="D271" i="1" l="1"/>
  <c r="D56" i="4" s="1"/>
  <c r="D35" i="5"/>
  <c r="D25" i="4"/>
  <c r="D11" i="4"/>
  <c r="C34" i="5"/>
  <c r="D52" i="4" l="1"/>
  <c r="C54" i="4" l="1"/>
  <c r="D55" i="4"/>
  <c r="H17" i="5" l="1"/>
  <c r="H32" i="5"/>
  <c r="H5" i="5"/>
  <c r="H10" i="1"/>
  <c r="H10" i="4" s="1"/>
  <c r="H11" i="1" l="1"/>
  <c r="H71" i="1" l="1"/>
  <c r="H25" i="4" s="1"/>
  <c r="H11" i="4"/>
  <c r="H267" i="1" l="1"/>
  <c r="H52" i="4" s="1"/>
  <c r="H55" i="4"/>
  <c r="H56" i="4"/>
  <c r="C35" i="3"/>
  <c r="C109" i="3" s="1"/>
  <c r="C21" i="5" l="1"/>
  <c r="C30" i="5"/>
  <c r="C6" i="3"/>
  <c r="C5" i="14"/>
  <c r="C7" i="14" s="1"/>
  <c r="C17" i="14" s="1"/>
  <c r="C18" i="3" l="1"/>
  <c r="C5" i="5"/>
  <c r="C10" i="1"/>
  <c r="C6" i="1" s="1"/>
  <c r="C10" i="4" l="1"/>
  <c r="C11" i="14"/>
  <c r="C17" i="5"/>
  <c r="C111" i="3"/>
  <c r="C11" i="1" l="1"/>
  <c r="C71" i="1" s="1"/>
  <c r="C6" i="4"/>
  <c r="C114" i="3"/>
  <c r="C32" i="5"/>
  <c r="C13" i="14"/>
  <c r="C35" i="5" l="1"/>
  <c r="C115" i="3"/>
  <c r="C36" i="5" s="1"/>
  <c r="C11" i="4"/>
  <c r="C267" i="1" l="1"/>
  <c r="C10" i="14"/>
  <c r="C25" i="4"/>
  <c r="C52" i="4" l="1"/>
  <c r="C270" i="1"/>
  <c r="C271" i="1" l="1"/>
  <c r="C56" i="4" s="1"/>
  <c r="C55" i="4"/>
  <c r="C14" i="14"/>
  <c r="C18" i="14" s="1"/>
  <c r="C1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tc={12C81926-2E95-4A36-B51A-E5AB2FEDC3C2}</author>
    <author>tc={B6E7B960-EBEE-4AFF-B8D6-2AE92D45DC89}</author>
  </authors>
  <commentList>
    <comment ref="C6" authorId="0" shapeId="0" xr:uid="{12C81926-2E95-4A36-B51A-E5AB2FEDC3C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SB: This line will adjust automatically as budgeted amounts are entered below. The amount shown here assumes the entire FY 2022 year-end general account unassigned fund balance will be used to offset taxes to be raised in FY 2024, consistent with recent prior years.</t>
      </text>
    </comment>
    <comment ref="C10" authorId="1" shapeId="0" xr:uid="{B6E7B960-EBEE-4AFF-B8D6-2AE92D45DC8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SB: This line will adjust automatically as budgeted amounts are entered in the Highway Account Detail worksheet.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tc={65F957FD-FD27-415C-BE95-DA51C1AC13A1}</author>
  </authors>
  <commentList>
    <comment ref="C6" authorId="0" shapeId="0" xr:uid="{65F957FD-FD27-415C-BE95-DA51C1AC13A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SB: This line will adjust automatically as budgeted amounts are entered below. The amount shown here assumes the entire FY 2022 year-end general account unassigned fund balance will be used to offset taxes to be raised in FY 2024, consistent with recent prior years.</t>
      </text>
    </comment>
  </commentList>
</comments>
</file>

<file path=xl/sharedStrings.xml><?xml version="1.0" encoding="utf-8"?>
<sst xmlns="http://schemas.openxmlformats.org/spreadsheetml/2006/main" count="417" uniqueCount="381">
  <si>
    <t>Taxes Current Year (100-6-10-00-300)</t>
  </si>
  <si>
    <t>Act 68 funds paid to State</t>
  </si>
  <si>
    <t>School Tax Pd to School</t>
  </si>
  <si>
    <t>School tax-Admin fee</t>
  </si>
  <si>
    <t>TOTAL TAXES CURRENT YEAR</t>
  </si>
  <si>
    <t>Other Taxes (100-6-10-00-305)</t>
  </si>
  <si>
    <t>Prior Years Delinquent</t>
  </si>
  <si>
    <t>Appalachian Trail in lieu of taxes</t>
  </si>
  <si>
    <t>Current Use Reimbursement</t>
  </si>
  <si>
    <t>VT State in Land in lieu of taxes</t>
  </si>
  <si>
    <t>School tax collection fee</t>
  </si>
  <si>
    <t>TOTAL OTHER TAXES</t>
  </si>
  <si>
    <t>Earnings on Accounts (100-6-10-05-315)</t>
  </si>
  <si>
    <t>Recording</t>
  </si>
  <si>
    <t>Copying</t>
  </si>
  <si>
    <t>Landfill Coupons Rcpts</t>
  </si>
  <si>
    <t>Landfill Coupons-Cost</t>
  </si>
  <si>
    <t>Marriage-CU License Rcpts</t>
  </si>
  <si>
    <t>Marriage-CU Licenses-Cost</t>
  </si>
  <si>
    <t>Dog Licenses Rcpts</t>
  </si>
  <si>
    <t>Dog Licenses-Cost</t>
  </si>
  <si>
    <t>Liquor Licenses</t>
  </si>
  <si>
    <t>Rent Town Hall</t>
  </si>
  <si>
    <t>Land posting fees</t>
  </si>
  <si>
    <t>TOTAL INCOME ACCOUNTS</t>
  </si>
  <si>
    <t>Town Permits (100-6-10-15-325)</t>
  </si>
  <si>
    <t>Access</t>
  </si>
  <si>
    <t>Excess Weight</t>
  </si>
  <si>
    <t>TOTAL TOWN PERMITS</t>
  </si>
  <si>
    <t>Misc. Town Clerk</t>
  </si>
  <si>
    <t>Traffic Fines</t>
  </si>
  <si>
    <t>TOTAL  MISC. INCOME</t>
  </si>
  <si>
    <t>Tax Equalization Income</t>
  </si>
  <si>
    <t>Public Safety (100-6-50-40)</t>
  </si>
  <si>
    <t>Insurance Reimbursement</t>
  </si>
  <si>
    <t>TOTAL PUBLIC SAFETY</t>
  </si>
  <si>
    <t>TOTAL TOWN REVENUES</t>
  </si>
  <si>
    <t>TOWN EXPENDITURES (100-7)</t>
  </si>
  <si>
    <t>Clerk (100-7-10-10)</t>
  </si>
  <si>
    <t>Clerk Salary</t>
  </si>
  <si>
    <t>Clerical Assistant</t>
  </si>
  <si>
    <t>Clerk Insurance</t>
  </si>
  <si>
    <t>Clerk Gen Exp</t>
  </si>
  <si>
    <t>Permanent Records Maintenance</t>
  </si>
  <si>
    <t>TOTAL CLERK</t>
  </si>
  <si>
    <t>Tax Collector</t>
  </si>
  <si>
    <t>Bookkeeper</t>
  </si>
  <si>
    <t>Asst. to Treasurer/Bookkeeper</t>
  </si>
  <si>
    <t>Treas Insurance</t>
  </si>
  <si>
    <t>Treas General Expense</t>
  </si>
  <si>
    <t>Accounting Support</t>
  </si>
  <si>
    <t>Listers (100-7-10-20)</t>
  </si>
  <si>
    <t>Listers Payroll</t>
  </si>
  <si>
    <t>Listers mileage</t>
  </si>
  <si>
    <t>Listers Gen Exp</t>
  </si>
  <si>
    <t xml:space="preserve">Listers software: Proval </t>
  </si>
  <si>
    <t>Tax mapping</t>
  </si>
  <si>
    <t>TOTAL LISTERS</t>
  </si>
  <si>
    <t>Other Officers (100-7-10-25)</t>
  </si>
  <si>
    <t xml:space="preserve">Select Board </t>
  </si>
  <si>
    <t>Select Board Gen Exp</t>
  </si>
  <si>
    <t>Select Board Admin Asst</t>
  </si>
  <si>
    <t>Board of Auditors</t>
  </si>
  <si>
    <t>Delinquent Tax Collector</t>
  </si>
  <si>
    <t>Zoning Administrator</t>
  </si>
  <si>
    <t>Trustees of Public Funds</t>
  </si>
  <si>
    <t>Pub Officials Liab Insurance</t>
  </si>
  <si>
    <t>Workers Comp</t>
  </si>
  <si>
    <t>Select Board Admin. Asst. Exp</t>
  </si>
  <si>
    <t>Planning Comm Exp</t>
  </si>
  <si>
    <t>TOTAL OTHER OFFICERS</t>
  </si>
  <si>
    <t>Municipal Office (100-7-10-30)</t>
  </si>
  <si>
    <t>Cleaning</t>
  </si>
  <si>
    <t>Town Office Building Maintenance</t>
  </si>
  <si>
    <t>Insurance</t>
  </si>
  <si>
    <t>Telephone-Internet</t>
  </si>
  <si>
    <t>Town Offices: Supplies</t>
  </si>
  <si>
    <t>Town Office Electricity</t>
  </si>
  <si>
    <t>Propane</t>
  </si>
  <si>
    <t>NEMRC Support</t>
  </si>
  <si>
    <t>Office 365 Software</t>
  </si>
  <si>
    <t>Other New Equip/Copier lease</t>
  </si>
  <si>
    <t>Misc Mun Office Exp</t>
  </si>
  <si>
    <t>TOTAL MUNICIPAL OFFICE</t>
  </si>
  <si>
    <t>TOTAL EXTRAORDINARY EXPENSES</t>
  </si>
  <si>
    <t>Assessments (100-7-10-55)</t>
  </si>
  <si>
    <t>Windsor County Tax</t>
  </si>
  <si>
    <t>GUVSWMD waste dues</t>
  </si>
  <si>
    <t>VLCT Dues</t>
  </si>
  <si>
    <t>Two Rivers</t>
  </si>
  <si>
    <t>TOTAL ASSESSMENTS</t>
  </si>
  <si>
    <t>Town Hall (100-7-10-65)</t>
  </si>
  <si>
    <t>Electricity, Town Hall</t>
  </si>
  <si>
    <t>Propane, Town Hall</t>
  </si>
  <si>
    <t>Fuel Oil, Town Hall</t>
  </si>
  <si>
    <t>TOTAL TOWN HALL</t>
  </si>
  <si>
    <t xml:space="preserve">Brick Building (100-7-20-33) </t>
  </si>
  <si>
    <t>Brick Bldg exp</t>
  </si>
  <si>
    <t>Brick Bldg - insurance</t>
  </si>
  <si>
    <t>Brick Bldg - electricity</t>
  </si>
  <si>
    <t>Brick Bldg - propane</t>
  </si>
  <si>
    <t>TOTAL BRICK BUILDING</t>
  </si>
  <si>
    <t>Misc Town Expenses (100-7-20-35)</t>
  </si>
  <si>
    <t>Grounds Maintenance</t>
  </si>
  <si>
    <t>Published Legal Notices</t>
  </si>
  <si>
    <t>Ed Conferences/Mileage</t>
  </si>
  <si>
    <t>Misc Gen Exp</t>
  </si>
  <si>
    <t>Fire Department (100-7-30-40)</t>
  </si>
  <si>
    <t>Buildings Maintenance</t>
  </si>
  <si>
    <t>FD: septic systems</t>
  </si>
  <si>
    <t>Pomfret FD phone:3730</t>
  </si>
  <si>
    <t>Teago FD phone: 1125</t>
  </si>
  <si>
    <t>FD Training, conf, mileage</t>
  </si>
  <si>
    <t>FD alarm systems</t>
  </si>
  <si>
    <t>Supplies</t>
  </si>
  <si>
    <t>FD vehicle gasoline</t>
  </si>
  <si>
    <t>PFD Rescue Vehicle</t>
  </si>
  <si>
    <t>PFD Engine 1</t>
  </si>
  <si>
    <t>Teago Engine 2</t>
  </si>
  <si>
    <t>Administration</t>
  </si>
  <si>
    <t>Electricity--Pomfret FD</t>
  </si>
  <si>
    <t>Electricity--Teago FD</t>
  </si>
  <si>
    <t>Propane Pomfret Fire Dept</t>
  </si>
  <si>
    <t>Teago FD propane</t>
  </si>
  <si>
    <t>Heating oil, Teago FD</t>
  </si>
  <si>
    <t>Equip (Hose, Tools etc)</t>
  </si>
  <si>
    <t>Traffic Control Devices</t>
  </si>
  <si>
    <t>Membership/Subscriptions</t>
  </si>
  <si>
    <t>TOTAL FIRE DEPARTMENT</t>
  </si>
  <si>
    <t>Contract Services (100-7-30-42)</t>
  </si>
  <si>
    <t>Ambulance Service Assessment</t>
  </si>
  <si>
    <t>Unpaid Ambulance Bills</t>
  </si>
  <si>
    <t>Dispatch Fees</t>
  </si>
  <si>
    <t>Sheriff's Patrol/VT State Police</t>
  </si>
  <si>
    <t>TOTAL CONTRACT SERVICES</t>
  </si>
  <si>
    <t>Fast Squad (100-7-30-44)</t>
  </si>
  <si>
    <t>FAST Squad: conf, train, mileage</t>
  </si>
  <si>
    <t>FAST Squad supplies</t>
  </si>
  <si>
    <t>TOTAL FAST SQUAD</t>
  </si>
  <si>
    <t>Repeater expenses</t>
  </si>
  <si>
    <t>Repeater electricity</t>
  </si>
  <si>
    <t>Municipal Special Projects (100-7-90-75)</t>
  </si>
  <si>
    <t>Veterans Memorial</t>
  </si>
  <si>
    <t>TOTAL MUNICIPAL SPECIAL PROJECTS</t>
  </si>
  <si>
    <t>Voted Appropriations (100-7-95-50)</t>
  </si>
  <si>
    <t>Town Entities</t>
  </si>
  <si>
    <t>Abbott Memorial Library</t>
  </si>
  <si>
    <t>Cemetery Appropriation</t>
  </si>
  <si>
    <t>Social Service Entities</t>
  </si>
  <si>
    <t>Visiting Nurses of VT and NH</t>
  </si>
  <si>
    <t>Thompson Senior Center</t>
  </si>
  <si>
    <t>Woodstock Area Job Bank</t>
  </si>
  <si>
    <t>Healthcare and Rehabilitation Services</t>
  </si>
  <si>
    <t>Spectrum Teen Center</t>
  </si>
  <si>
    <t>Pentangle Arts Council</t>
  </si>
  <si>
    <t>WISE of Upper Valley</t>
  </si>
  <si>
    <t>Ottauquechee Health Foundation</t>
  </si>
  <si>
    <t>TOTAL VOTED APPROPRIATIONS</t>
  </si>
  <si>
    <t>TOTAL FINANCIAL MANAGEMENT</t>
  </si>
  <si>
    <t>TOTAL HIGHWAY RESERVES</t>
  </si>
  <si>
    <t>Highway paving reserve</t>
  </si>
  <si>
    <t>Highway vehicle reserve</t>
  </si>
  <si>
    <t>Highway Reserves (150-7-95-50)</t>
  </si>
  <si>
    <t>Annual Storm Water Permit</t>
  </si>
  <si>
    <t>TOTAL CONTRACTS</t>
  </si>
  <si>
    <t>Tree Removal</t>
  </si>
  <si>
    <t>Crack Sealing</t>
  </si>
  <si>
    <t>Contracts (150-7-50-90)</t>
  </si>
  <si>
    <t>Garage Fuel Oil</t>
  </si>
  <si>
    <t>Garage electricity</t>
  </si>
  <si>
    <t>Telephone</t>
  </si>
  <si>
    <t>Garage Utilities</t>
  </si>
  <si>
    <t>Garage Building (150-7-40-83)</t>
  </si>
  <si>
    <t>Rented Equipment</t>
  </si>
  <si>
    <t>Blades, Shoes, Rake Teeth</t>
  </si>
  <si>
    <t>Diesel Exhaust Fluid</t>
  </si>
  <si>
    <t>Gasoline (small equip)</t>
  </si>
  <si>
    <t>Diesel</t>
  </si>
  <si>
    <t>Small Equipment (150-7-30-80)</t>
  </si>
  <si>
    <t>TOTAL MATERIALS</t>
  </si>
  <si>
    <t>Highway Misc.</t>
  </si>
  <si>
    <t>Bandrail</t>
  </si>
  <si>
    <t>Chloride</t>
  </si>
  <si>
    <t>Crushed Stone</t>
  </si>
  <si>
    <t>Manufactured Sand</t>
  </si>
  <si>
    <t>Sand</t>
  </si>
  <si>
    <t>Salt</t>
  </si>
  <si>
    <t>Materials (150-7-20-75)</t>
  </si>
  <si>
    <t>TOTAL INSURANCE</t>
  </si>
  <si>
    <t>Unemployment Insurance</t>
  </si>
  <si>
    <t>Workers Compensation Insurance</t>
  </si>
  <si>
    <t>Insurance (150-7-15-85)</t>
  </si>
  <si>
    <t>Health Ins. - Town's Cost</t>
  </si>
  <si>
    <t>Part-time Labor</t>
  </si>
  <si>
    <t>Gross Pay</t>
  </si>
  <si>
    <t>Labor and Benefits (150-7-10-70)</t>
  </si>
  <si>
    <t>HIGHWAY EXPENDITURES (150-7)</t>
  </si>
  <si>
    <t>Highway Misc. Income</t>
  </si>
  <si>
    <t>Highway Interest Income</t>
  </si>
  <si>
    <t>State Aid - Highways</t>
  </si>
  <si>
    <t>Income Accounts (100-6-10-10-320)</t>
  </si>
  <si>
    <t>TOWN REVENUES (100-6)</t>
  </si>
  <si>
    <t>VOTED APPROPRIATIONS (100-7)</t>
  </si>
  <si>
    <t>TOTAL TOWN EXPENDITURES AND
TOTAL VOTED APPROPRIATIONS</t>
  </si>
  <si>
    <t>Highway Revenue (150-6-10-00)</t>
  </si>
  <si>
    <t>TOTAL LABOR AND BENEFITS</t>
  </si>
  <si>
    <t>TOTAL SMALL EQUIPMENT</t>
  </si>
  <si>
    <t>TOTAL  GARAGE BUILDING</t>
  </si>
  <si>
    <t>TOTAL SPECIAL PROJECTS AND GRANTS</t>
  </si>
  <si>
    <t>Special Projects and Grants  (150-7-50-93)</t>
  </si>
  <si>
    <t>TOTAL HIGHWAY EXPENDITURES</t>
  </si>
  <si>
    <t xml:space="preserve">BEGINNING HIGHWAY  FUND BALANCE </t>
  </si>
  <si>
    <t>HIGHWAY REVENUES LESS
HIGHWAY EXPENDITURES</t>
  </si>
  <si>
    <t>Penalties and Interest (Taxes) (100-6-10-00-310)</t>
  </si>
  <si>
    <t>TOTAL PENALTIES AND INTEREST (TAXES)</t>
  </si>
  <si>
    <t>Misc. Income (100-6-10-20-340)</t>
  </si>
  <si>
    <t>State Funds and Other Grants (100-6-20-00-355)</t>
  </si>
  <si>
    <t>TOTAL STATE FUNDS AND OTHER GRANTS</t>
  </si>
  <si>
    <t>Misc. Select Board</t>
  </si>
  <si>
    <t>Legal and Professional Fees</t>
  </si>
  <si>
    <t>TOTAL MISC. TOWN EXPENSES</t>
  </si>
  <si>
    <t>TOTAL COMMUNICATIONS AND DISASTER</t>
  </si>
  <si>
    <t>Communications and Disaster (100-7-30-46)</t>
  </si>
  <si>
    <t>TOWN REVENUES LESS TOWN EXPENDITURES
AND LESS VOTED APPROPRIATIONS</t>
  </si>
  <si>
    <t>Drug and Alcohol Test/DOT</t>
  </si>
  <si>
    <t>Property and Liability Insurance</t>
  </si>
  <si>
    <t>Highway, conf, training and mileage</t>
  </si>
  <si>
    <t>Cold Patch and Hot Mix</t>
  </si>
  <si>
    <t>Culverts and Headwalls</t>
  </si>
  <si>
    <t>Signs, snow fence and posts</t>
  </si>
  <si>
    <t>Tires and Chains</t>
  </si>
  <si>
    <t>Radios and Cellphones</t>
  </si>
  <si>
    <t>Large Equipment Maint and Repair (150-7-35-05)</t>
  </si>
  <si>
    <t>Large Equipment Maint and Repair</t>
  </si>
  <si>
    <t>TOTAL LARGE EQUIPMENT MAINT AND REPAIR</t>
  </si>
  <si>
    <t>Garage Building and Grounds</t>
  </si>
  <si>
    <t>HIGHWAY REVENUES (150-6)</t>
  </si>
  <si>
    <t>TOTAL HIGHWAY REVENUES</t>
  </si>
  <si>
    <t>Record Books and Supplies</t>
  </si>
  <si>
    <t>Listers Education and Dues</t>
  </si>
  <si>
    <t>Constable and Expense</t>
  </si>
  <si>
    <t>Town's Cost SS and Med</t>
  </si>
  <si>
    <t>ZBA and Admin Exp</t>
  </si>
  <si>
    <t>Postage and Envelopes</t>
  </si>
  <si>
    <t>Misc and Cleaning, Town Hall</t>
  </si>
  <si>
    <t>Repairs and Maintenance, Town Hall</t>
  </si>
  <si>
    <t>Brick Bldg Maintenance and Repair</t>
  </si>
  <si>
    <t>Bank Fees and Service Charges</t>
  </si>
  <si>
    <t>Town Report Printing and Mailing</t>
  </si>
  <si>
    <t>Signs and Posts (911)</t>
  </si>
  <si>
    <t>SCBA and Gas Meter</t>
  </si>
  <si>
    <t>Other Town Revenues</t>
  </si>
  <si>
    <t>TOTAL OTHER TOWN REVENUES</t>
  </si>
  <si>
    <t>TOWN REVENUES</t>
  </si>
  <si>
    <t>TOWN EXPENDITURES</t>
  </si>
  <si>
    <t>Town Expenditures</t>
  </si>
  <si>
    <t>A</t>
  </si>
  <si>
    <t>B</t>
  </si>
  <si>
    <t>C</t>
  </si>
  <si>
    <t>Non-Tax Revenues</t>
  </si>
  <si>
    <t>TOTAL NON-TAX REVENUES</t>
  </si>
  <si>
    <t>D</t>
  </si>
  <si>
    <t>E</t>
  </si>
  <si>
    <t>F</t>
  </si>
  <si>
    <t>G</t>
  </si>
  <si>
    <t>Sum of Lines 2, 3 and 4</t>
  </si>
  <si>
    <t>From Line 5</t>
  </si>
  <si>
    <t>Expenditures and Voted Appropriations</t>
  </si>
  <si>
    <t>TOTAL EXPENDITURES AND VOTED APPROPRIATIONS</t>
  </si>
  <si>
    <t>HIGHWAY REVENUES</t>
  </si>
  <si>
    <t>HIGHWAY EXPENDITURES</t>
  </si>
  <si>
    <t>Calculation of Taxes to be Raised</t>
  </si>
  <si>
    <t>TOTAL EARNINGS ON ACCOUNTS</t>
  </si>
  <si>
    <t>Contracted Services</t>
  </si>
  <si>
    <t>Highway Fund Balance Change</t>
  </si>
  <si>
    <t>FEMA 4445DR April 15, 2019 Storm</t>
  </si>
  <si>
    <t>Protective Clothing/Supplies/Uniforms</t>
  </si>
  <si>
    <t>Charitable Donations</t>
  </si>
  <si>
    <t>Sum of Lines 8, 9, 10 and 11</t>
  </si>
  <si>
    <t>From Line 12</t>
  </si>
  <si>
    <t>Current Year Taxes*</t>
  </si>
  <si>
    <t>ENDING HIGHWAY FUND BALANCE*</t>
  </si>
  <si>
    <t>* Actual "current year taxes" includes both town and education tax revenues; Budget "current year taxes" includes only town tax revenues.</t>
  </si>
  <si>
    <t xml:space="preserve">BEGINNING GENERAL FUND BALANCE </t>
  </si>
  <si>
    <t>General Fund Balance Change</t>
  </si>
  <si>
    <t>ENDING GENERAL FUND BALANCE*</t>
  </si>
  <si>
    <t>Empower Up - Windsor Central Mentoring Program</t>
  </si>
  <si>
    <t>Appropriation to Highway Fund</t>
  </si>
  <si>
    <t>Appropriation from General Fund</t>
  </si>
  <si>
    <t>Reappraisal Reserve #160</t>
  </si>
  <si>
    <t>Communications Reserve #410</t>
  </si>
  <si>
    <t>Reserve Accounts</t>
  </si>
  <si>
    <t>TOTAL RESERVE ACCOUNTS</t>
  </si>
  <si>
    <t>Restoration and Preservation Reserve Fund</t>
  </si>
  <si>
    <t>FY 2021
Budget</t>
  </si>
  <si>
    <t>COVID expenses</t>
  </si>
  <si>
    <t>Teago Engine 1</t>
  </si>
  <si>
    <t>FD operating expenses</t>
  </si>
  <si>
    <t>Planning and zoning project</t>
  </si>
  <si>
    <t>COVID-19 sick time pay</t>
  </si>
  <si>
    <t>Gen vehicle maintenance</t>
  </si>
  <si>
    <t>Interest on Taxes Due</t>
  </si>
  <si>
    <t>Late Penalty on Taxes Due</t>
  </si>
  <si>
    <t>Grant to Comply with Mun. Standards</t>
  </si>
  <si>
    <t>Hydroseeder supplies</t>
  </si>
  <si>
    <t>Bridges reserve</t>
  </si>
  <si>
    <t>FY 2022
Budget</t>
  </si>
  <si>
    <t>FY 2021
Actual</t>
  </si>
  <si>
    <t>TOTAL TOWN EXPENDITURES</t>
  </si>
  <si>
    <t>Land Use change tax</t>
  </si>
  <si>
    <t>Interest Income</t>
  </si>
  <si>
    <t>Reserve Sweep Income</t>
  </si>
  <si>
    <t>Election Grant</t>
  </si>
  <si>
    <t>COVID Grant</t>
  </si>
  <si>
    <t>Professional Fees (100-7-10-45)</t>
  </si>
  <si>
    <t>Treasurer (100-7-10-15)</t>
  </si>
  <si>
    <t>Hydroseeder Grant</t>
  </si>
  <si>
    <t>VT Payment in Lieu of Grant</t>
  </si>
  <si>
    <t>Bunker Hill Grant</t>
  </si>
  <si>
    <t>Uniforms and Cleaning</t>
  </si>
  <si>
    <t>Stone for Howe Hill</t>
  </si>
  <si>
    <t>Artistree Intersection</t>
  </si>
  <si>
    <t>Culvert Below Johnson Road</t>
  </si>
  <si>
    <t>VT State Permits</t>
  </si>
  <si>
    <t>Clear lane deicer salt</t>
  </si>
  <si>
    <t>Teago Engine 3</t>
  </si>
  <si>
    <t>FD non vehicle Reserve #402</t>
  </si>
  <si>
    <t>FD Vehicle Reserve #400</t>
  </si>
  <si>
    <t>Use of Personal Vehicles</t>
  </si>
  <si>
    <t>Green Up Day</t>
  </si>
  <si>
    <t>Computer Services/Cloud Backup/Security</t>
  </si>
  <si>
    <t>Treas Salary*</t>
  </si>
  <si>
    <t>Vehicle Purchase</t>
  </si>
  <si>
    <t>and Warning Article 15 on page 3 of the 2020 Annual Report.</t>
  </si>
  <si>
    <t>FY 2024
Budget
(proposed)</t>
  </si>
  <si>
    <t>FY 2023
Budget</t>
  </si>
  <si>
    <t>FY 2022
Actual</t>
  </si>
  <si>
    <t>General Fund Balance to be used in FY 2024</t>
  </si>
  <si>
    <t>Highway Fund Balance to be used in FY 2024</t>
  </si>
  <si>
    <t>FY 2024 TAXES TO BE RAISED</t>
  </si>
  <si>
    <t>* FY 2023 Budget and FY 2024 Budget combines Treasurer, Bookkeeper and Tax Collector salary into a single line item.</t>
  </si>
  <si>
    <t>Ridgeline, Building and Zoning Permits</t>
  </si>
  <si>
    <t>Election Expenses</t>
  </si>
  <si>
    <t>FD Radios &amp; Cell Phones</t>
  </si>
  <si>
    <t>PFD Engine 3</t>
  </si>
  <si>
    <t>Teago Village Reserve*</t>
  </si>
  <si>
    <t>* FY 2022 Budget includes $10,000 to the new Teago Village Reserve appropriated by separate warning article.  See Page 1 of the 2021 Annual Report</t>
  </si>
  <si>
    <t>State grant supplement</t>
  </si>
  <si>
    <t>Webster Cloudland grant</t>
  </si>
  <si>
    <t>Donations to Highway</t>
  </si>
  <si>
    <t>Garage Shop Supplies</t>
  </si>
  <si>
    <t>Garage Office Supplies</t>
  </si>
  <si>
    <t>Small Machines and Tools</t>
  </si>
  <si>
    <t>Webster Hill Grant</t>
  </si>
  <si>
    <t xml:space="preserve">* $82,079 of the FY 2021 ending Highway Fund Balance was assigned to reduce taxes to be raised in FY 2023. As a result, the unassigned FY 2022 ending Highway Fund Balance was $20,050, which amount is proposed to be used to offset highway expenditures in FY 2024.  See Line </t>
  </si>
  <si>
    <t>Total Town Expenditures</t>
  </si>
  <si>
    <t>From General Account Detail, Line 246.  See also Warning Article [X].</t>
  </si>
  <si>
    <t>Total Highway Expenditures</t>
  </si>
  <si>
    <t>From Highway Account Detail, Line 108.  See also Warning Article [X].</t>
  </si>
  <si>
    <t>Total Voted Appropriations</t>
  </si>
  <si>
    <t>From General Account Detail, Line 267.  See also Warning Articles [X] through [X].</t>
  </si>
  <si>
    <t>From General Account Detail, Line 74, minus General Account Detail, Line 10.</t>
  </si>
  <si>
    <t>From Highway Account Detail, Line 17, minus Highway Account Detail, Line 5.</t>
  </si>
  <si>
    <t>From General Account Detail, Line 271.  See also Warning Article [X].</t>
  </si>
  <si>
    <t>From Highway Account Detail, Line 110.</t>
  </si>
  <si>
    <t>Difference between Lines 15 and 16.  See also General Account Detail, Line 5.</t>
  </si>
  <si>
    <t>FY2023</t>
  </si>
  <si>
    <t>Total Town Revenues (excluding FY 2023 taxes to be raised)</t>
  </si>
  <si>
    <t>Total Highway Revenues (excluding FY 2023 taxes to be raised)</t>
  </si>
  <si>
    <t>General Fund Balance to be used in FY 2023</t>
  </si>
  <si>
    <t>Highway Fund Balance to be used in FY 2023</t>
  </si>
  <si>
    <t>FY 2023 TAXES TO BE RAISED</t>
  </si>
  <si>
    <t>fund balances transfer</t>
  </si>
  <si>
    <t>Protective clothing (turnout gear)</t>
  </si>
  <si>
    <t>Fire Warden and Deputy</t>
  </si>
  <si>
    <t xml:space="preserve">Disability insurance       </t>
  </si>
  <si>
    <t>FICA Social Security</t>
  </si>
  <si>
    <t>Medicare Expense</t>
  </si>
  <si>
    <t>Retirement Expense</t>
  </si>
  <si>
    <t xml:space="preserve">* $121,767 of the FY 2021 ending General Fund Balance was assigned to reduce taxes to be raised in FY 2023.  As a result, the unassigned FY 2022 ending General Fund Balance was $242,292, of which $145,375 is proposed to be used to reduce taxes to be raised in FY 2024.  See Line </t>
  </si>
  <si>
    <t>.  See also Warning Article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</si>
</sst>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</borders>
  <cellStyleXfs count="5">
    <xf numFmtId="0" fontId="0" fillId="0" borderId="0"/>
    <xf numFmtId="43" fontId="33" fillId="0" borderId="0" applyFont="0" applyFill="0" applyBorder="0" applyAlignment="0" applyProtection="0"/>
    <xf numFmtId="0" fontId="34" fillId="0" borderId="0"/>
    <xf numFmtId="0" fontId="42" fillId="0" borderId="0"/>
    <xf numFmtId="9" fontId="33" fillId="0" borderId="0" applyFont="0" applyFill="0" applyBorder="0" applyAlignment="0" applyProtection="0"/>
  </cellStyleXfs>
  <cellXfs count="215">
    <xf numFmtId="0" fontId="0" fillId="0" borderId="0" xfId="0"/>
    <xf numFmtId="41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41" fontId="31" fillId="0" borderId="0" xfId="1" applyNumberFormat="1" applyFont="1" applyFill="1" applyBorder="1" applyAlignment="1" applyProtection="1">
      <alignment vertical="center"/>
    </xf>
    <xf numFmtId="41" fontId="35" fillId="0" borderId="0" xfId="0" applyNumberFormat="1" applyFont="1" applyAlignment="1">
      <alignment vertical="center"/>
    </xf>
    <xf numFmtId="41" fontId="35" fillId="0" borderId="0" xfId="1" applyNumberFormat="1" applyFont="1" applyFill="1" applyBorder="1" applyAlignment="1" applyProtection="1">
      <alignment vertical="center"/>
    </xf>
    <xf numFmtId="41" fontId="35" fillId="0" borderId="4" xfId="0" applyNumberFormat="1" applyFont="1" applyBorder="1" applyAlignment="1">
      <alignment vertical="center" wrapText="1"/>
    </xf>
    <xf numFmtId="41" fontId="35" fillId="0" borderId="0" xfId="0" applyNumberFormat="1" applyFont="1" applyAlignment="1">
      <alignment vertical="center" wrapText="1"/>
    </xf>
    <xf numFmtId="41" fontId="31" fillId="0" borderId="2" xfId="1" applyNumberFormat="1" applyFont="1" applyFill="1" applyBorder="1" applyAlignment="1" applyProtection="1">
      <alignment vertical="center"/>
    </xf>
    <xf numFmtId="41" fontId="31" fillId="0" borderId="4" xfId="0" applyNumberFormat="1" applyFont="1" applyBorder="1" applyAlignment="1">
      <alignment vertical="center"/>
    </xf>
    <xf numFmtId="41" fontId="31" fillId="0" borderId="4" xfId="1" applyNumberFormat="1" applyFont="1" applyFill="1" applyBorder="1" applyAlignment="1" applyProtection="1">
      <alignment vertical="center"/>
    </xf>
    <xf numFmtId="41" fontId="31" fillId="0" borderId="2" xfId="0" applyNumberFormat="1" applyFont="1" applyBorder="1" applyAlignment="1">
      <alignment vertical="center"/>
    </xf>
    <xf numFmtId="41" fontId="35" fillId="0" borderId="4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1" fontId="31" fillId="0" borderId="2" xfId="0" applyNumberFormat="1" applyFont="1" applyBorder="1" applyAlignment="1">
      <alignment horizontal="center" vertical="center"/>
    </xf>
    <xf numFmtId="37" fontId="35" fillId="0" borderId="5" xfId="0" applyNumberFormat="1" applyFont="1" applyBorder="1" applyAlignment="1">
      <alignment vertical="center"/>
    </xf>
    <xf numFmtId="37" fontId="36" fillId="0" borderId="1" xfId="0" applyNumberFormat="1" applyFont="1" applyBorder="1" applyAlignment="1">
      <alignment vertical="center"/>
    </xf>
    <xf numFmtId="37" fontId="31" fillId="0" borderId="0" xfId="0" applyNumberFormat="1" applyFont="1" applyAlignment="1">
      <alignment horizontal="center" vertical="center"/>
    </xf>
    <xf numFmtId="37" fontId="35" fillId="0" borderId="6" xfId="0" applyNumberFormat="1" applyFont="1" applyBorder="1" applyAlignment="1">
      <alignment horizontal="center" vertical="center"/>
    </xf>
    <xf numFmtId="37" fontId="35" fillId="0" borderId="6" xfId="0" applyNumberFormat="1" applyFont="1" applyBorder="1" applyAlignment="1">
      <alignment vertical="center"/>
    </xf>
    <xf numFmtId="37" fontId="31" fillId="0" borderId="7" xfId="0" applyNumberFormat="1" applyFont="1" applyBorder="1" applyAlignment="1">
      <alignment vertical="center"/>
    </xf>
    <xf numFmtId="37" fontId="31" fillId="0" borderId="6" xfId="0" applyNumberFormat="1" applyFont="1" applyBorder="1" applyAlignment="1">
      <alignment vertical="center"/>
    </xf>
    <xf numFmtId="37" fontId="35" fillId="0" borderId="6" xfId="0" applyNumberFormat="1" applyFont="1" applyBorder="1" applyAlignment="1">
      <alignment horizontal="left" vertical="center"/>
    </xf>
    <xf numFmtId="37" fontId="35" fillId="0" borderId="8" xfId="0" applyNumberFormat="1" applyFont="1" applyBorder="1" applyAlignment="1">
      <alignment vertical="center"/>
    </xf>
    <xf numFmtId="37" fontId="31" fillId="0" borderId="6" xfId="0" applyNumberFormat="1" applyFont="1" applyBorder="1" applyAlignment="1">
      <alignment horizontal="left" vertical="center"/>
    </xf>
    <xf numFmtId="37" fontId="35" fillId="0" borderId="7" xfId="0" applyNumberFormat="1" applyFont="1" applyBorder="1" applyAlignment="1">
      <alignment horizontal="center" vertical="center"/>
    </xf>
    <xf numFmtId="41" fontId="35" fillId="0" borderId="4" xfId="1" applyNumberFormat="1" applyFont="1" applyFill="1" applyBorder="1" applyAlignment="1" applyProtection="1">
      <alignment horizontal="center" vertical="top" wrapText="1"/>
    </xf>
    <xf numFmtId="41" fontId="35" fillId="0" borderId="4" xfId="0" applyNumberFormat="1" applyFont="1" applyBorder="1" applyAlignment="1">
      <alignment horizontal="center" vertical="top" wrapText="1"/>
    </xf>
    <xf numFmtId="37" fontId="31" fillId="0" borderId="0" xfId="0" applyNumberFormat="1" applyFont="1" applyAlignment="1">
      <alignment horizontal="center"/>
    </xf>
    <xf numFmtId="41" fontId="35" fillId="0" borderId="4" xfId="1" applyNumberFormat="1" applyFont="1" applyFill="1" applyBorder="1" applyAlignment="1" applyProtection="1">
      <alignment vertical="center"/>
    </xf>
    <xf numFmtId="37" fontId="35" fillId="0" borderId="3" xfId="0" applyNumberFormat="1" applyFont="1" applyBorder="1" applyAlignment="1">
      <alignment vertical="center"/>
    </xf>
    <xf numFmtId="41" fontId="35" fillId="0" borderId="4" xfId="0" applyNumberFormat="1" applyFont="1" applyBorder="1"/>
    <xf numFmtId="41" fontId="35" fillId="0" borderId="4" xfId="1" applyNumberFormat="1" applyFont="1" applyFill="1" applyBorder="1" applyAlignment="1" applyProtection="1"/>
    <xf numFmtId="41" fontId="35" fillId="0" borderId="4" xfId="0" applyNumberFormat="1" applyFont="1" applyBorder="1" applyAlignment="1">
      <alignment wrapText="1"/>
    </xf>
    <xf numFmtId="41" fontId="35" fillId="0" borderId="4" xfId="0" applyNumberFormat="1" applyFont="1" applyBorder="1" applyAlignment="1">
      <alignment vertical="top" wrapText="1"/>
    </xf>
    <xf numFmtId="37" fontId="35" fillId="0" borderId="7" xfId="0" applyNumberFormat="1" applyFont="1" applyBorder="1" applyAlignment="1">
      <alignment horizontal="left" vertical="center"/>
    </xf>
    <xf numFmtId="37" fontId="35" fillId="0" borderId="3" xfId="0" applyNumberFormat="1" applyFont="1" applyBorder="1" applyAlignment="1">
      <alignment horizontal="left" vertical="center"/>
    </xf>
    <xf numFmtId="37" fontId="35" fillId="0" borderId="7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41" fontId="36" fillId="0" borderId="4" xfId="1" applyNumberFormat="1" applyFont="1" applyFill="1" applyBorder="1" applyAlignment="1" applyProtection="1">
      <alignment vertical="center"/>
    </xf>
    <xf numFmtId="0" fontId="31" fillId="0" borderId="8" xfId="0" applyFont="1" applyBorder="1" applyAlignment="1">
      <alignment horizontal="center" vertical="center"/>
    </xf>
    <xf numFmtId="37" fontId="35" fillId="0" borderId="7" xfId="0" applyNumberFormat="1" applyFont="1" applyBorder="1" applyAlignment="1">
      <alignment vertical="center"/>
    </xf>
    <xf numFmtId="37" fontId="36" fillId="0" borderId="7" xfId="0" applyNumberFormat="1" applyFont="1" applyBorder="1" applyAlignment="1">
      <alignment horizontal="center" vertical="center"/>
    </xf>
    <xf numFmtId="37" fontId="36" fillId="0" borderId="6" xfId="0" applyNumberFormat="1" applyFont="1" applyBorder="1" applyAlignment="1">
      <alignment vertical="center"/>
    </xf>
    <xf numFmtId="41" fontId="39" fillId="0" borderId="4" xfId="0" applyNumberFormat="1" applyFont="1" applyBorder="1" applyAlignment="1">
      <alignment vertical="center" wrapText="1"/>
    </xf>
    <xf numFmtId="41" fontId="39" fillId="0" borderId="0" xfId="0" applyNumberFormat="1" applyFont="1" applyAlignment="1">
      <alignment vertical="center" wrapText="1"/>
    </xf>
    <xf numFmtId="41" fontId="40" fillId="0" borderId="4" xfId="1" applyNumberFormat="1" applyFont="1" applyFill="1" applyBorder="1" applyAlignment="1" applyProtection="1">
      <alignment vertical="center"/>
    </xf>
    <xf numFmtId="37" fontId="37" fillId="0" borderId="3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0" fontId="22" fillId="0" borderId="2" xfId="0" applyFont="1" applyBorder="1" applyAlignment="1">
      <alignment horizontal="center" vertical="center"/>
    </xf>
    <xf numFmtId="41" fontId="35" fillId="0" borderId="0" xfId="1" applyNumberFormat="1" applyFont="1" applyFill="1" applyBorder="1" applyAlignment="1" applyProtection="1">
      <alignment vertical="top" wrapText="1"/>
    </xf>
    <xf numFmtId="41" fontId="43" fillId="0" borderId="4" xfId="0" applyNumberFormat="1" applyFont="1" applyBorder="1" applyAlignment="1">
      <alignment vertical="center" wrapText="1"/>
    </xf>
    <xf numFmtId="37" fontId="36" fillId="0" borderId="3" xfId="0" applyNumberFormat="1" applyFont="1" applyBorder="1" applyAlignment="1">
      <alignment vertical="center"/>
    </xf>
    <xf numFmtId="0" fontId="15" fillId="0" borderId="0" xfId="0" applyFont="1"/>
    <xf numFmtId="41" fontId="15" fillId="0" borderId="0" xfId="0" applyNumberFormat="1" applyFont="1"/>
    <xf numFmtId="0" fontId="15" fillId="0" borderId="0" xfId="0" applyFont="1" applyAlignment="1">
      <alignment horizontal="center"/>
    </xf>
    <xf numFmtId="41" fontId="15" fillId="0" borderId="0" xfId="0" applyNumberFormat="1" applyFont="1" applyAlignment="1">
      <alignment vertical="center"/>
    </xf>
    <xf numFmtId="37" fontId="15" fillId="0" borderId="1" xfId="0" applyNumberFormat="1" applyFont="1" applyBorder="1" applyAlignment="1">
      <alignment vertical="center"/>
    </xf>
    <xf numFmtId="37" fontId="15" fillId="0" borderId="5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vertical="center"/>
    </xf>
    <xf numFmtId="0" fontId="15" fillId="0" borderId="5" xfId="0" applyFont="1" applyBorder="1"/>
    <xf numFmtId="0" fontId="15" fillId="0" borderId="3" xfId="0" applyFont="1" applyBorder="1"/>
    <xf numFmtId="37" fontId="15" fillId="0" borderId="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1" fontId="15" fillId="0" borderId="5" xfId="0" applyNumberFormat="1" applyFont="1" applyBorder="1" applyAlignment="1">
      <alignment horizontal="center" vertical="center"/>
    </xf>
    <xf numFmtId="41" fontId="15" fillId="0" borderId="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1" fontId="43" fillId="0" borderId="0" xfId="0" applyNumberFormat="1" applyFont="1" applyAlignment="1">
      <alignment vertical="center" wrapText="1"/>
    </xf>
    <xf numFmtId="37" fontId="10" fillId="0" borderId="1" xfId="0" applyNumberFormat="1" applyFont="1" applyBorder="1" applyAlignment="1">
      <alignment vertical="center"/>
    </xf>
    <xf numFmtId="41" fontId="44" fillId="0" borderId="4" xfId="1" applyNumberFormat="1" applyFont="1" applyFill="1" applyBorder="1" applyAlignment="1" applyProtection="1">
      <alignment vertical="center"/>
    </xf>
    <xf numFmtId="0" fontId="37" fillId="0" borderId="0" xfId="0" applyFont="1" applyAlignment="1">
      <alignment vertical="center"/>
    </xf>
    <xf numFmtId="164" fontId="0" fillId="0" borderId="0" xfId="0" applyNumberFormat="1"/>
    <xf numFmtId="164" fontId="35" fillId="0" borderId="4" xfId="1" applyNumberFormat="1" applyFont="1" applyFill="1" applyBorder="1" applyAlignment="1" applyProtection="1">
      <alignment vertical="center"/>
    </xf>
    <xf numFmtId="9" fontId="46" fillId="0" borderId="0" xfId="4" applyFont="1" applyFill="1"/>
    <xf numFmtId="41" fontId="7" fillId="0" borderId="0" xfId="0" applyNumberFormat="1" applyFont="1" applyAlignment="1">
      <alignment vertical="center"/>
    </xf>
    <xf numFmtId="41" fontId="7" fillId="0" borderId="0" xfId="0" applyNumberFormat="1" applyFont="1"/>
    <xf numFmtId="164" fontId="15" fillId="0" borderId="0" xfId="1" applyNumberFormat="1" applyFont="1" applyAlignment="1">
      <alignment vertical="center"/>
    </xf>
    <xf numFmtId="164" fontId="7" fillId="0" borderId="0" xfId="1" applyNumberFormat="1" applyFont="1"/>
    <xf numFmtId="164" fontId="15" fillId="0" borderId="0" xfId="1" applyNumberFormat="1" applyFont="1"/>
    <xf numFmtId="41" fontId="1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vertical="center"/>
    </xf>
    <xf numFmtId="37" fontId="37" fillId="0" borderId="0" xfId="0" applyNumberFormat="1" applyFont="1" applyAlignment="1">
      <alignment vertical="center"/>
    </xf>
    <xf numFmtId="37" fontId="15" fillId="0" borderId="0" xfId="0" applyNumberFormat="1" applyFont="1" applyAlignment="1">
      <alignment vertical="center"/>
    </xf>
    <xf numFmtId="37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164" fontId="15" fillId="0" borderId="2" xfId="1" applyNumberFormat="1" applyFont="1" applyBorder="1"/>
    <xf numFmtId="41" fontId="10" fillId="0" borderId="4" xfId="0" applyNumberFormat="1" applyFont="1" applyFill="1" applyBorder="1" applyAlignment="1">
      <alignment vertical="center"/>
    </xf>
    <xf numFmtId="41" fontId="31" fillId="0" borderId="0" xfId="0" applyNumberFormat="1" applyFont="1" applyFill="1" applyAlignment="1">
      <alignment vertical="center"/>
    </xf>
    <xf numFmtId="41" fontId="31" fillId="0" borderId="4" xfId="0" applyNumberFormat="1" applyFont="1" applyFill="1" applyBorder="1" applyAlignment="1">
      <alignment vertical="center"/>
    </xf>
    <xf numFmtId="37" fontId="1" fillId="0" borderId="6" xfId="0" applyNumberFormat="1" applyFont="1" applyBorder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41" fontId="2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1" fontId="9" fillId="0" borderId="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top"/>
    </xf>
    <xf numFmtId="37" fontId="35" fillId="0" borderId="7" xfId="0" applyNumberFormat="1" applyFont="1" applyFill="1" applyBorder="1" applyAlignment="1">
      <alignment horizontal="left" vertical="center"/>
    </xf>
    <xf numFmtId="41" fontId="35" fillId="0" borderId="4" xfId="0" applyNumberFormat="1" applyFont="1" applyFill="1" applyBorder="1" applyAlignment="1">
      <alignment horizontal="center" vertical="top" wrapText="1"/>
    </xf>
    <xf numFmtId="164" fontId="35" fillId="0" borderId="4" xfId="0" applyNumberFormat="1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center"/>
    </xf>
    <xf numFmtId="37" fontId="35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41" fontId="35" fillId="0" borderId="0" xfId="0" applyNumberFormat="1" applyFont="1" applyFill="1" applyAlignment="1">
      <alignment vertical="center" wrapText="1"/>
    </xf>
    <xf numFmtId="37" fontId="31" fillId="0" borderId="6" xfId="0" applyNumberFormat="1" applyFont="1" applyFill="1" applyBorder="1" applyAlignment="1">
      <alignment horizontal="center" vertical="center"/>
    </xf>
    <xf numFmtId="37" fontId="35" fillId="0" borderId="6" xfId="0" applyNumberFormat="1" applyFont="1" applyFill="1" applyBorder="1" applyAlignment="1">
      <alignment vertical="center"/>
    </xf>
    <xf numFmtId="37" fontId="24" fillId="0" borderId="7" xfId="0" applyNumberFormat="1" applyFont="1" applyFill="1" applyBorder="1" applyAlignment="1">
      <alignment vertical="center"/>
    </xf>
    <xf numFmtId="164" fontId="31" fillId="0" borderId="4" xfId="0" applyNumberFormat="1" applyFont="1" applyFill="1" applyBorder="1" applyAlignment="1">
      <alignment vertical="center"/>
    </xf>
    <xf numFmtId="37" fontId="31" fillId="0" borderId="6" xfId="0" applyNumberFormat="1" applyFont="1" applyFill="1" applyBorder="1" applyAlignment="1">
      <alignment vertical="center"/>
    </xf>
    <xf numFmtId="164" fontId="31" fillId="0" borderId="0" xfId="0" applyNumberFormat="1" applyFont="1" applyFill="1" applyAlignment="1">
      <alignment vertical="center"/>
    </xf>
    <xf numFmtId="37" fontId="8" fillId="0" borderId="6" xfId="0" applyNumberFormat="1" applyFont="1" applyFill="1" applyBorder="1" applyAlignment="1">
      <alignment vertical="center"/>
    </xf>
    <xf numFmtId="37" fontId="16" fillId="0" borderId="6" xfId="0" applyNumberFormat="1" applyFont="1" applyFill="1" applyBorder="1" applyAlignment="1">
      <alignment vertical="center"/>
    </xf>
    <xf numFmtId="37" fontId="13" fillId="0" borderId="6" xfId="0" applyNumberFormat="1" applyFont="1" applyFill="1" applyBorder="1" applyAlignment="1">
      <alignment vertical="center"/>
    </xf>
    <xf numFmtId="41" fontId="35" fillId="0" borderId="4" xfId="0" applyNumberFormat="1" applyFont="1" applyFill="1" applyBorder="1" applyAlignment="1">
      <alignment vertical="center"/>
    </xf>
    <xf numFmtId="164" fontId="35" fillId="0" borderId="4" xfId="0" applyNumberFormat="1" applyFont="1" applyFill="1" applyBorder="1" applyAlignment="1">
      <alignment vertical="center"/>
    </xf>
    <xf numFmtId="37" fontId="35" fillId="0" borderId="6" xfId="0" applyNumberFormat="1" applyFont="1" applyFill="1" applyBorder="1" applyAlignment="1">
      <alignment horizontal="left" vertical="center"/>
    </xf>
    <xf numFmtId="41" fontId="35" fillId="0" borderId="0" xfId="0" applyNumberFormat="1" applyFont="1" applyFill="1" applyAlignment="1">
      <alignment vertical="center"/>
    </xf>
    <xf numFmtId="37" fontId="31" fillId="0" borderId="7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41" fontId="17" fillId="0" borderId="4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41" fontId="17" fillId="0" borderId="0" xfId="0" applyNumberFormat="1" applyFont="1" applyFill="1" applyAlignment="1">
      <alignment vertical="center"/>
    </xf>
    <xf numFmtId="37" fontId="1" fillId="0" borderId="6" xfId="0" applyNumberFormat="1" applyFont="1" applyFill="1" applyBorder="1" applyAlignment="1">
      <alignment vertical="center"/>
    </xf>
    <xf numFmtId="37" fontId="3" fillId="0" borderId="6" xfId="0" applyNumberFormat="1" applyFont="1" applyFill="1" applyBorder="1" applyAlignment="1">
      <alignment vertical="center"/>
    </xf>
    <xf numFmtId="37" fontId="26" fillId="0" borderId="6" xfId="0" applyNumberFormat="1" applyFont="1" applyFill="1" applyBorder="1" applyAlignment="1">
      <alignment vertical="center"/>
    </xf>
    <xf numFmtId="37" fontId="10" fillId="0" borderId="6" xfId="0" applyNumberFormat="1" applyFont="1" applyFill="1" applyBorder="1" applyAlignment="1">
      <alignment vertical="center"/>
    </xf>
    <xf numFmtId="37" fontId="31" fillId="0" borderId="6" xfId="0" applyNumberFormat="1" applyFont="1" applyFill="1" applyBorder="1" applyAlignment="1">
      <alignment horizontal="right" vertical="center"/>
    </xf>
    <xf numFmtId="37" fontId="31" fillId="0" borderId="6" xfId="0" applyNumberFormat="1" applyFont="1" applyFill="1" applyBorder="1" applyAlignment="1">
      <alignment vertical="center" wrapText="1"/>
    </xf>
    <xf numFmtId="37" fontId="11" fillId="0" borderId="6" xfId="0" applyNumberFormat="1" applyFont="1" applyFill="1" applyBorder="1" applyAlignment="1">
      <alignment vertical="center"/>
    </xf>
    <xf numFmtId="37" fontId="19" fillId="0" borderId="6" xfId="0" applyNumberFormat="1" applyFont="1" applyFill="1" applyBorder="1" applyAlignment="1">
      <alignment vertical="center"/>
    </xf>
    <xf numFmtId="37" fontId="30" fillId="0" borderId="7" xfId="0" applyNumberFormat="1" applyFont="1" applyFill="1" applyBorder="1" applyAlignment="1">
      <alignment vertical="center"/>
    </xf>
    <xf numFmtId="37" fontId="35" fillId="0" borderId="6" xfId="0" applyNumberFormat="1" applyFont="1" applyFill="1" applyBorder="1" applyAlignment="1">
      <alignment vertical="center" wrapText="1"/>
    </xf>
    <xf numFmtId="37" fontId="12" fillId="0" borderId="6" xfId="0" applyNumberFormat="1" applyFont="1" applyFill="1" applyBorder="1" applyAlignment="1">
      <alignment vertical="center"/>
    </xf>
    <xf numFmtId="37" fontId="27" fillId="0" borderId="6" xfId="0" applyNumberFormat="1" applyFont="1" applyFill="1" applyBorder="1" applyAlignment="1">
      <alignment vertical="center"/>
    </xf>
    <xf numFmtId="37" fontId="35" fillId="0" borderId="8" xfId="0" applyNumberFormat="1" applyFont="1" applyFill="1" applyBorder="1" applyAlignment="1">
      <alignment vertical="center"/>
    </xf>
    <xf numFmtId="0" fontId="0" fillId="0" borderId="2" xfId="0" applyFill="1" applyBorder="1"/>
    <xf numFmtId="164" fontId="0" fillId="0" borderId="2" xfId="0" applyNumberFormat="1" applyFill="1" applyBorder="1"/>
    <xf numFmtId="41" fontId="31" fillId="0" borderId="2" xfId="0" applyNumberFormat="1" applyFont="1" applyFill="1" applyBorder="1" applyAlignment="1">
      <alignment vertical="center"/>
    </xf>
    <xf numFmtId="37" fontId="31" fillId="0" borderId="6" xfId="0" applyNumberFormat="1" applyFont="1" applyFill="1" applyBorder="1" applyAlignment="1">
      <alignment horizontal="left" vertical="center"/>
    </xf>
    <xf numFmtId="37" fontId="35" fillId="0" borderId="7" xfId="0" applyNumberFormat="1" applyFont="1" applyFill="1" applyBorder="1" applyAlignment="1">
      <alignment horizontal="left" vertical="center" wrapText="1"/>
    </xf>
    <xf numFmtId="41" fontId="35" fillId="0" borderId="4" xfId="0" applyNumberFormat="1" applyFont="1" applyFill="1" applyBorder="1" applyAlignment="1">
      <alignment vertical="top"/>
    </xf>
    <xf numFmtId="164" fontId="35" fillId="0" borderId="4" xfId="0" applyNumberFormat="1" applyFont="1" applyFill="1" applyBorder="1" applyAlignment="1">
      <alignment vertical="top"/>
    </xf>
    <xf numFmtId="37" fontId="35" fillId="0" borderId="7" xfId="0" applyNumberFormat="1" applyFont="1" applyFill="1" applyBorder="1" applyAlignment="1">
      <alignment horizontal="center" vertical="center"/>
    </xf>
    <xf numFmtId="41" fontId="41" fillId="0" borderId="4" xfId="0" applyNumberFormat="1" applyFont="1" applyFill="1" applyBorder="1"/>
    <xf numFmtId="164" fontId="40" fillId="0" borderId="4" xfId="0" applyNumberFormat="1" applyFont="1" applyFill="1" applyBorder="1"/>
    <xf numFmtId="41" fontId="43" fillId="0" borderId="4" xfId="0" applyNumberFormat="1" applyFont="1" applyFill="1" applyBorder="1" applyAlignment="1">
      <alignment vertical="center" wrapText="1"/>
    </xf>
    <xf numFmtId="41" fontId="40" fillId="0" borderId="4" xfId="0" applyNumberFormat="1" applyFont="1" applyFill="1" applyBorder="1"/>
    <xf numFmtId="41" fontId="44" fillId="0" borderId="4" xfId="0" applyNumberFormat="1" applyFont="1" applyFill="1" applyBorder="1" applyAlignment="1">
      <alignment vertical="center"/>
    </xf>
    <xf numFmtId="41" fontId="40" fillId="0" borderId="0" xfId="0" applyNumberFormat="1" applyFont="1" applyFill="1" applyAlignment="1">
      <alignment vertical="center" wrapText="1"/>
    </xf>
    <xf numFmtId="164" fontId="40" fillId="0" borderId="0" xfId="0" applyNumberFormat="1" applyFont="1" applyFill="1" applyAlignment="1">
      <alignment vertical="center"/>
    </xf>
    <xf numFmtId="41" fontId="43" fillId="0" borderId="0" xfId="0" applyNumberFormat="1" applyFont="1" applyFill="1" applyAlignment="1">
      <alignment vertical="center" wrapText="1"/>
    </xf>
    <xf numFmtId="41" fontId="40" fillId="0" borderId="0" xfId="0" applyNumberFormat="1" applyFont="1" applyFill="1" applyAlignment="1">
      <alignment vertical="center"/>
    </xf>
    <xf numFmtId="41" fontId="44" fillId="0" borderId="0" xfId="0" applyNumberFormat="1" applyFont="1" applyFill="1" applyAlignment="1">
      <alignment vertical="center"/>
    </xf>
    <xf numFmtId="37" fontId="36" fillId="0" borderId="7" xfId="0" applyNumberFormat="1" applyFont="1" applyFill="1" applyBorder="1" applyAlignment="1">
      <alignment horizontal="center" vertical="center"/>
    </xf>
    <xf numFmtId="41" fontId="44" fillId="0" borderId="4" xfId="0" applyNumberFormat="1" applyFont="1" applyFill="1" applyBorder="1"/>
    <xf numFmtId="0" fontId="31" fillId="0" borderId="0" xfId="0" applyFont="1" applyFill="1" applyAlignment="1">
      <alignment vertical="center"/>
    </xf>
    <xf numFmtId="37" fontId="35" fillId="0" borderId="8" xfId="0" applyNumberFormat="1" applyFont="1" applyFill="1" applyBorder="1" applyAlignment="1">
      <alignment vertical="center" wrapText="1"/>
    </xf>
    <xf numFmtId="41" fontId="9" fillId="0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165" fontId="45" fillId="0" borderId="0" xfId="4" applyNumberFormat="1" applyFont="1" applyFill="1"/>
    <xf numFmtId="9" fontId="0" fillId="0" borderId="0" xfId="4" applyFont="1" applyFill="1"/>
    <xf numFmtId="37" fontId="25" fillId="0" borderId="7" xfId="0" applyNumberFormat="1" applyFont="1" applyFill="1" applyBorder="1" applyAlignment="1">
      <alignment vertical="center"/>
    </xf>
    <xf numFmtId="37" fontId="24" fillId="0" borderId="6" xfId="0" applyNumberFormat="1" applyFont="1" applyFill="1" applyBorder="1" applyAlignment="1">
      <alignment vertical="center"/>
    </xf>
    <xf numFmtId="37" fontId="36" fillId="0" borderId="6" xfId="0" applyNumberFormat="1" applyFont="1" applyFill="1" applyBorder="1" applyAlignment="1">
      <alignment horizontal="left" vertical="center"/>
    </xf>
    <xf numFmtId="37" fontId="18" fillId="0" borderId="7" xfId="0" applyNumberFormat="1" applyFont="1" applyFill="1" applyBorder="1" applyAlignment="1">
      <alignment vertical="center"/>
    </xf>
    <xf numFmtId="37" fontId="18" fillId="0" borderId="6" xfId="0" applyNumberFormat="1" applyFont="1" applyFill="1" applyBorder="1" applyAlignment="1">
      <alignment vertical="center"/>
    </xf>
    <xf numFmtId="37" fontId="13" fillId="0" borderId="7" xfId="0" applyNumberFormat="1" applyFont="1" applyFill="1" applyBorder="1" applyAlignment="1">
      <alignment vertical="center"/>
    </xf>
    <xf numFmtId="37" fontId="23" fillId="0" borderId="6" xfId="0" applyNumberFormat="1" applyFont="1" applyFill="1" applyBorder="1" applyAlignment="1">
      <alignment vertical="center"/>
    </xf>
    <xf numFmtId="37" fontId="26" fillId="0" borderId="7" xfId="0" applyNumberFormat="1" applyFont="1" applyFill="1" applyBorder="1" applyAlignment="1">
      <alignment vertical="center"/>
    </xf>
    <xf numFmtId="41" fontId="26" fillId="0" borderId="4" xfId="0" applyNumberFormat="1" applyFont="1" applyFill="1" applyBorder="1" applyAlignment="1">
      <alignment vertical="center"/>
    </xf>
    <xf numFmtId="37" fontId="30" fillId="0" borderId="6" xfId="0" applyNumberFormat="1" applyFont="1" applyFill="1" applyBorder="1" applyAlignment="1">
      <alignment vertical="center"/>
    </xf>
    <xf numFmtId="37" fontId="10" fillId="0" borderId="7" xfId="0" applyNumberFormat="1" applyFont="1" applyFill="1" applyBorder="1" applyAlignment="1">
      <alignment vertical="center"/>
    </xf>
    <xf numFmtId="37" fontId="20" fillId="0" borderId="6" xfId="0" applyNumberFormat="1" applyFont="1" applyFill="1" applyBorder="1" applyAlignment="1">
      <alignment vertical="center"/>
    </xf>
    <xf numFmtId="37" fontId="4" fillId="0" borderId="6" xfId="0" applyNumberFormat="1" applyFont="1" applyFill="1" applyBorder="1" applyAlignment="1">
      <alignment vertical="center"/>
    </xf>
    <xf numFmtId="41" fontId="27" fillId="0" borderId="4" xfId="0" applyNumberFormat="1" applyFont="1" applyFill="1" applyBorder="1" applyAlignment="1">
      <alignment vertical="center"/>
    </xf>
    <xf numFmtId="41" fontId="27" fillId="0" borderId="0" xfId="0" applyNumberFormat="1" applyFont="1" applyFill="1" applyAlignment="1">
      <alignment vertical="center"/>
    </xf>
    <xf numFmtId="37" fontId="5" fillId="0" borderId="6" xfId="0" applyNumberFormat="1" applyFont="1" applyFill="1" applyBorder="1" applyAlignment="1">
      <alignment vertical="center"/>
    </xf>
    <xf numFmtId="41" fontId="38" fillId="0" borderId="0" xfId="0" applyNumberFormat="1" applyFont="1" applyFill="1" applyAlignment="1">
      <alignment vertical="center"/>
    </xf>
    <xf numFmtId="37" fontId="13" fillId="0" borderId="8" xfId="0" applyNumberFormat="1" applyFont="1" applyFill="1" applyBorder="1" applyAlignment="1">
      <alignment vertical="center"/>
    </xf>
    <xf numFmtId="37" fontId="36" fillId="0" borderId="6" xfId="0" applyNumberFormat="1" applyFont="1" applyFill="1" applyBorder="1" applyAlignment="1">
      <alignment vertical="center"/>
    </xf>
    <xf numFmtId="37" fontId="36" fillId="0" borderId="6" xfId="0" applyNumberFormat="1" applyFont="1" applyFill="1" applyBorder="1" applyAlignment="1">
      <alignment horizontal="left" vertical="center" indent="2"/>
    </xf>
    <xf numFmtId="0" fontId="0" fillId="0" borderId="4" xfId="0" applyFill="1" applyBorder="1"/>
    <xf numFmtId="37" fontId="31" fillId="0" borderId="9" xfId="0" applyNumberFormat="1" applyFont="1" applyFill="1" applyBorder="1" applyAlignment="1">
      <alignment vertical="center"/>
    </xf>
    <xf numFmtId="41" fontId="31" fillId="0" borderId="10" xfId="0" applyNumberFormat="1" applyFont="1" applyFill="1" applyBorder="1" applyAlignment="1">
      <alignment vertical="center"/>
    </xf>
    <xf numFmtId="37" fontId="36" fillId="0" borderId="6" xfId="0" applyNumberFormat="1" applyFont="1" applyFill="1" applyBorder="1" applyAlignment="1">
      <alignment horizontal="center" vertical="center"/>
    </xf>
    <xf numFmtId="41" fontId="38" fillId="0" borderId="10" xfId="0" applyNumberFormat="1" applyFont="1" applyFill="1" applyBorder="1" applyAlignment="1">
      <alignment vertical="center"/>
    </xf>
    <xf numFmtId="37" fontId="14" fillId="0" borderId="6" xfId="0" applyNumberFormat="1" applyFont="1" applyFill="1" applyBorder="1" applyAlignment="1">
      <alignment vertical="center"/>
    </xf>
    <xf numFmtId="41" fontId="31" fillId="0" borderId="1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35" fillId="0" borderId="2" xfId="0" applyNumberFormat="1" applyFont="1" applyFill="1" applyBorder="1" applyAlignment="1">
      <alignment vertical="center"/>
    </xf>
    <xf numFmtId="41" fontId="1" fillId="0" borderId="0" xfId="0" applyNumberFormat="1" applyFont="1" applyAlignment="1">
      <alignment vertical="center"/>
    </xf>
    <xf numFmtId="41" fontId="40" fillId="0" borderId="3" xfId="0" applyNumberFormat="1" applyFont="1" applyFill="1" applyBorder="1" applyAlignment="1">
      <alignment vertical="center" wrapText="1"/>
    </xf>
    <xf numFmtId="41" fontId="40" fillId="0" borderId="4" xfId="0" applyNumberFormat="1" applyFont="1" applyFill="1" applyBorder="1" applyAlignment="1">
      <alignment vertical="center" wrapText="1"/>
    </xf>
    <xf numFmtId="37" fontId="35" fillId="0" borderId="5" xfId="0" applyNumberFormat="1" applyFont="1" applyFill="1" applyBorder="1" applyAlignment="1">
      <alignment horizontal="left" vertical="center"/>
    </xf>
    <xf numFmtId="37" fontId="31" fillId="0" borderId="1" xfId="0" applyNumberFormat="1" applyFont="1" applyFill="1" applyBorder="1" applyAlignment="1">
      <alignment vertical="center"/>
    </xf>
    <xf numFmtId="37" fontId="35" fillId="0" borderId="1" xfId="0" applyNumberFormat="1" applyFont="1" applyFill="1" applyBorder="1" applyAlignment="1">
      <alignment vertical="center"/>
    </xf>
    <xf numFmtId="37" fontId="31" fillId="0" borderId="3" xfId="0" applyNumberFormat="1" applyFont="1" applyFill="1" applyBorder="1" applyAlignment="1">
      <alignment vertical="center"/>
    </xf>
    <xf numFmtId="37" fontId="35" fillId="0" borderId="3" xfId="0" applyNumberFormat="1" applyFont="1" applyFill="1" applyBorder="1" applyAlignment="1">
      <alignment horizontal="left" vertical="center"/>
    </xf>
    <xf numFmtId="37" fontId="31" fillId="0" borderId="1" xfId="0" applyNumberFormat="1" applyFont="1" applyFill="1" applyBorder="1" applyAlignment="1">
      <alignment horizontal="left" vertical="center"/>
    </xf>
    <xf numFmtId="37" fontId="3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1" fontId="31" fillId="0" borderId="3" xfId="0" applyNumberFormat="1" applyFont="1" applyFill="1" applyBorder="1" applyAlignment="1">
      <alignment vertical="center"/>
    </xf>
    <xf numFmtId="41" fontId="35" fillId="0" borderId="3" xfId="0" applyNumberFormat="1" applyFont="1" applyFill="1" applyBorder="1" applyAlignment="1">
      <alignment vertical="center"/>
    </xf>
    <xf numFmtId="0" fontId="0" fillId="0" borderId="5" xfId="0" applyFill="1" applyBorder="1"/>
    <xf numFmtId="0" fontId="31" fillId="0" borderId="6" xfId="0" applyFont="1" applyFill="1" applyBorder="1" applyAlignment="1">
      <alignment vertical="center"/>
    </xf>
    <xf numFmtId="0" fontId="36" fillId="0" borderId="4" xfId="1" applyNumberFormat="1" applyFont="1" applyFill="1" applyBorder="1" applyAlignment="1" applyProtection="1">
      <alignment vertical="center" wrapText="1" shrinkToFit="1"/>
    </xf>
    <xf numFmtId="0" fontId="36" fillId="0" borderId="4" xfId="0" applyFont="1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36" fillId="0" borderId="4" xfId="0" applyFont="1" applyFill="1" applyBorder="1" applyAlignment="1">
      <alignment horizontal="left" vertical="center" wrapText="1"/>
    </xf>
    <xf numFmtId="0" fontId="0" fillId="0" borderId="4" xfId="0" applyFill="1" applyBorder="1"/>
  </cellXfs>
  <cellStyles count="5">
    <cellStyle name="Comma" xfId="1" builtinId="3"/>
    <cellStyle name="Excel Built-in Normal" xfId="3" xr:uid="{00000000-0005-0000-0000-000001000000}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06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606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3175000</xdr:colOff>
      <xdr:row>14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75000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14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75000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3200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175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175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323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4323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175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175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4323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F02AC8B-A679-4D5E-ADD1-DDCC4767B61B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B06AD9C-8783-4586-83E8-7858846E9134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3175000</xdr:colOff>
      <xdr:row>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6118D73-FF04-4BD0-B5AD-8E1C0EE46848}"/>
            </a:ext>
          </a:extLst>
        </xdr:cNvPr>
        <xdr:cNvSpPr txBox="1"/>
      </xdr:nvSpPr>
      <xdr:spPr>
        <a:xfrm>
          <a:off x="6073775" y="165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4DD4517-6EC7-4099-A0DA-DB0DEE706733}"/>
            </a:ext>
          </a:extLst>
        </xdr:cNvPr>
        <xdr:cNvSpPr txBox="1"/>
      </xdr:nvSpPr>
      <xdr:spPr>
        <a:xfrm>
          <a:off x="4168775" y="165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C182179-AD26-45E4-9D50-3620992D0044}"/>
            </a:ext>
          </a:extLst>
        </xdr:cNvPr>
        <xdr:cNvSpPr txBox="1"/>
      </xdr:nvSpPr>
      <xdr:spPr>
        <a:xfrm>
          <a:off x="4168775" y="165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052BC29-07A7-45FE-AD86-11707F49CB93}"/>
            </a:ext>
          </a:extLst>
        </xdr:cNvPr>
        <xdr:cNvSpPr txBox="1"/>
      </xdr:nvSpPr>
      <xdr:spPr>
        <a:xfrm>
          <a:off x="4168775" y="165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2DA1E48-CD71-40DA-85D8-BD91ED35D2B4}"/>
            </a:ext>
          </a:extLst>
        </xdr:cNvPr>
        <xdr:cNvSpPr txBox="1"/>
      </xdr:nvSpPr>
      <xdr:spPr>
        <a:xfrm>
          <a:off x="4168775" y="165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606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606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3175000</xdr:colOff>
      <xdr:row>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2162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3175000</xdr:colOff>
      <xdr:row>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2162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DF5ABA-845E-4942-8A56-F65F41ACDCDB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EC711F-92D1-409F-BDF0-314AAE7B9A21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655FA8-A945-4EA2-9DAF-74084746C5FD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FB015B2-CF5D-4FB1-9B97-2EC0790DAAEC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DAE25FA-AC24-46FD-AD38-862003707753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6FA101B-A27F-4F35-8F35-F57FA200F852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5272D34-7A56-4C28-B669-618A62D5D113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98682F0-5D55-444E-AB39-AD38857327C9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FE94EE6-AA74-4A1A-9A15-8227CB4B92A3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B459272-BC68-4775-90C1-80FFD789D435}"/>
            </a:ext>
          </a:extLst>
        </xdr:cNvPr>
        <xdr:cNvSpPr txBox="1"/>
      </xdr:nvSpPr>
      <xdr:spPr>
        <a:xfrm>
          <a:off x="1071562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FD30528-2DC5-477B-A44C-8AE318232A3F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56105DC-5876-4C2B-97D7-9A4CA2A510C2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3175000</xdr:colOff>
      <xdr:row>6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340C38B-D8A0-458E-8041-78B0CCD0D8F8}"/>
            </a:ext>
          </a:extLst>
        </xdr:cNvPr>
        <xdr:cNvSpPr txBox="1"/>
      </xdr:nvSpPr>
      <xdr:spPr>
        <a:xfrm>
          <a:off x="6073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3175000</xdr:colOff>
      <xdr:row>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7113F1F-C9EE-4931-B26D-FCBF10FB665F}"/>
            </a:ext>
          </a:extLst>
        </xdr:cNvPr>
        <xdr:cNvSpPr txBox="1"/>
      </xdr:nvSpPr>
      <xdr:spPr>
        <a:xfrm>
          <a:off x="6073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FD31D85-A65C-4530-A955-14ADCB4AD7A1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3175000</xdr:colOff>
      <xdr:row>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F960101-81C4-4BED-B07E-68B695A1A4B2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0C91B66-C652-496A-8FD5-194E908F07FE}"/>
            </a:ext>
          </a:extLst>
        </xdr:cNvPr>
        <xdr:cNvSpPr txBox="1"/>
      </xdr:nvSpPr>
      <xdr:spPr>
        <a:xfrm>
          <a:off x="32162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3175000</xdr:colOff>
      <xdr:row>6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ABE12D1-EE5D-40E0-A5C7-8D4273EBA734}"/>
            </a:ext>
          </a:extLst>
        </xdr:cNvPr>
        <xdr:cNvSpPr txBox="1"/>
      </xdr:nvSpPr>
      <xdr:spPr>
        <a:xfrm>
          <a:off x="32162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4F2FD95-C164-4A3A-AFF6-7F75844FA1E0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345B525-BBB9-46F4-B4A7-590AD02FF13E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B6B78B2-3B25-477C-8D8C-14103B7A28A0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3175000</xdr:colOff>
      <xdr:row>6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894E1F9-1DCC-439C-BA8E-4EEE8514596E}"/>
            </a:ext>
          </a:extLst>
        </xdr:cNvPr>
        <xdr:cNvSpPr txBox="1"/>
      </xdr:nvSpPr>
      <xdr:spPr>
        <a:xfrm>
          <a:off x="41687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ickner, Benjamin" id="{82DA5105-2633-44C4-839B-0F2A7B405E40}" userId="S::BBrickner@manatt.com::d5d3251f-8950-4c5a-9f76-9b63f7cb25e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2-10-26T17:46:45.25" personId="{82DA5105-2633-44C4-839B-0F2A7B405E40}" id="{12C81926-2E95-4A36-B51A-E5AB2FEDC3C2}">
    <text>Note to SB: This line will adjust automatically as budgeted amounts are entered below. The amount shown here assumes the entire FY 2022 year-end general account unassigned fund balance will be used to offset taxes to be raised in FY 2024, consistent with recent prior years.</text>
  </threadedComment>
  <threadedComment ref="C10" dT="2022-10-26T17:47:17.63" personId="{82DA5105-2633-44C4-839B-0F2A7B405E40}" id="{B6E7B960-EBEE-4AFF-B8D6-2AE92D45DC89}">
    <text>Note to SB: This line will adjust automatically as budgeted amounts are entered in the Highway Account Detail worksheet.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6" dT="2022-10-26T17:51:30.89" personId="{82DA5105-2633-44C4-839B-0F2A7B405E40}" id="{65F957FD-FD27-415C-BE95-DA51C1AC13A1}">
    <text>Note to SB: This line will adjust automatically as budgeted amounts are entered below. The amount shown here assumes the entire FY 2022 year-end general account unassigned fund balance will be used to offset taxes to be raised in FY 2024, consistent with recent prior years.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8"/>
  <sheetViews>
    <sheetView tabSelected="1" zoomScale="75" zoomScaleNormal="7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.625" style="13" bestFit="1" customWidth="1"/>
    <col min="2" max="2" width="37.5" style="2" customWidth="1"/>
    <col min="3" max="3" width="12.5" style="2" customWidth="1"/>
    <col min="4" max="8" width="12.5" style="1" customWidth="1"/>
    <col min="9" max="257" width="11" style="2" customWidth="1"/>
    <col min="258" max="16384" width="9" style="2"/>
  </cols>
  <sheetData>
    <row r="1" spans="1:8" ht="18" customHeight="1" x14ac:dyDescent="0.25">
      <c r="A1" s="39"/>
      <c r="B1" s="41" t="str">
        <f>CHAR(COLUMN('General Account Detail'!B2)+63)</f>
        <v>A</v>
      </c>
      <c r="C1" s="15" t="str">
        <f>CHAR(COLUMN('General Account Detail'!C2)+63)</f>
        <v>B</v>
      </c>
      <c r="D1" s="15" t="str">
        <f>CHAR(COLUMN('General Account Detail'!D2)+63)</f>
        <v>C</v>
      </c>
      <c r="E1" s="15" t="str">
        <f>CHAR(COLUMN('General Account Detail'!E2)+63)</f>
        <v>D</v>
      </c>
      <c r="F1" s="15" t="str">
        <f>CHAR(COLUMN('General Account Detail'!F2)+63)</f>
        <v>E</v>
      </c>
      <c r="G1" s="15" t="str">
        <f>CHAR(COLUMN('General Account Detail'!G2)+63)</f>
        <v>F</v>
      </c>
      <c r="H1" s="15" t="str">
        <f>CHAR(COLUMN('General Account Detail'!H2)+63)</f>
        <v>G</v>
      </c>
    </row>
    <row r="2" spans="1:8" ht="45" x14ac:dyDescent="0.25">
      <c r="B2" s="36"/>
      <c r="C2" s="28" t="str">
        <f>'General Account Detail'!C2</f>
        <v>FY 2024
Budget
(proposed)</v>
      </c>
      <c r="D2" s="28" t="str">
        <f>'General Account Detail'!D2</f>
        <v>FY 2023
Budget</v>
      </c>
      <c r="E2" s="28" t="str">
        <f>'General Account Detail'!E2</f>
        <v>FY 2022
Actual</v>
      </c>
      <c r="F2" s="28" t="str">
        <f>'General Account Detail'!F2</f>
        <v>FY 2022
Budget</v>
      </c>
      <c r="G2" s="28" t="str">
        <f>'General Account Detail'!G2</f>
        <v>FY 2021
Actual</v>
      </c>
      <c r="H2" s="28" t="str">
        <f>'General Account Detail'!H2</f>
        <v>FY 2021
Budget</v>
      </c>
    </row>
    <row r="3" spans="1:8" ht="18" customHeight="1" x14ac:dyDescent="0.25">
      <c r="B3" s="19" t="s">
        <v>253</v>
      </c>
      <c r="C3" s="51"/>
      <c r="D3" s="51"/>
      <c r="E3" s="51"/>
      <c r="F3" s="51"/>
      <c r="G3" s="51"/>
      <c r="H3" s="51"/>
    </row>
    <row r="4" spans="1:8" ht="18" customHeight="1" x14ac:dyDescent="0.25">
      <c r="B4" s="23"/>
      <c r="C4" s="51"/>
      <c r="D4" s="51"/>
      <c r="E4" s="51"/>
      <c r="F4" s="51"/>
      <c r="G4" s="51"/>
      <c r="H4" s="51"/>
    </row>
    <row r="5" spans="1:8" ht="18" customHeight="1" x14ac:dyDescent="0.25">
      <c r="B5" s="20" t="str">
        <f>'General Account Detail'!B5</f>
        <v>Taxes Current Year (100-6-10-00-300)</v>
      </c>
      <c r="C5" s="3"/>
      <c r="D5" s="3"/>
      <c r="E5" s="3"/>
      <c r="F5" s="3"/>
      <c r="G5" s="3"/>
      <c r="H5" s="3"/>
    </row>
    <row r="6" spans="1:8" ht="18" customHeight="1" x14ac:dyDescent="0.25">
      <c r="A6" s="18">
        <f>ROW('General Account Detail'!B6)-1</f>
        <v>5</v>
      </c>
      <c r="B6" s="21" t="str">
        <f>'General Account Detail'!B6</f>
        <v>Current Year Taxes*</v>
      </c>
      <c r="C6" s="10">
        <f>'General Account Detail'!C6</f>
        <v>1127488.3293944288</v>
      </c>
      <c r="D6" s="9">
        <f>'General Account Detail'!D6</f>
        <v>1067927.1122718663</v>
      </c>
      <c r="E6" s="9">
        <f>'General Account Detail'!E6</f>
        <v>4428269.84</v>
      </c>
      <c r="F6" s="10">
        <f>'General Account Detail'!F6</f>
        <v>936509.42000000039</v>
      </c>
      <c r="G6" s="9">
        <f>'General Account Detail'!G6</f>
        <v>4339355.83</v>
      </c>
      <c r="H6" s="9">
        <f>'General Account Detail'!H6</f>
        <v>922493.61</v>
      </c>
    </row>
    <row r="7" spans="1:8" ht="18" customHeight="1" x14ac:dyDescent="0.25">
      <c r="A7" s="18">
        <f>ROW('General Account Detail'!B7)-1</f>
        <v>6</v>
      </c>
      <c r="B7" s="22" t="str">
        <f>'General Account Detail'!B7</f>
        <v>Act 68 funds paid to State</v>
      </c>
      <c r="C7" s="1">
        <f>'General Account Detail'!C7</f>
        <v>0</v>
      </c>
      <c r="D7" s="1">
        <f>'General Account Detail'!D7</f>
        <v>0</v>
      </c>
      <c r="E7" s="1">
        <f>'General Account Detail'!E7</f>
        <v>-1820001.52</v>
      </c>
      <c r="F7" s="1">
        <f>'General Account Detail'!F7</f>
        <v>0</v>
      </c>
      <c r="G7" s="1">
        <f>'General Account Detail'!G7</f>
        <v>-1796395.45</v>
      </c>
      <c r="H7" s="1">
        <f>'General Account Detail'!H7</f>
        <v>0</v>
      </c>
    </row>
    <row r="8" spans="1:8" ht="18" customHeight="1" x14ac:dyDescent="0.25">
      <c r="A8" s="18">
        <f>ROW('General Account Detail'!B8)-1</f>
        <v>7</v>
      </c>
      <c r="B8" s="22" t="str">
        <f>'General Account Detail'!B8</f>
        <v>School Tax Pd to School</v>
      </c>
      <c r="C8" s="1">
        <f>'General Account Detail'!C8</f>
        <v>0</v>
      </c>
      <c r="D8" s="1">
        <f>'General Account Detail'!D8</f>
        <v>0</v>
      </c>
      <c r="E8" s="1">
        <f>'General Account Detail'!E8</f>
        <v>-1710688.18</v>
      </c>
      <c r="F8" s="1">
        <f>'General Account Detail'!F8</f>
        <v>0</v>
      </c>
      <c r="G8" s="1">
        <f>'General Account Detail'!G8</f>
        <v>-1774109</v>
      </c>
      <c r="H8" s="1">
        <f>'General Account Detail'!H8</f>
        <v>0</v>
      </c>
    </row>
    <row r="9" spans="1:8" ht="18" customHeight="1" x14ac:dyDescent="0.25">
      <c r="A9" s="18">
        <f>ROW('General Account Detail'!B9)-1</f>
        <v>8</v>
      </c>
      <c r="B9" s="22" t="str">
        <f>'General Account Detail'!B9</f>
        <v>School tax-Admin fee</v>
      </c>
      <c r="C9" s="1">
        <f>'General Account Detail'!C9</f>
        <v>0</v>
      </c>
      <c r="D9" s="1">
        <f>'General Account Detail'!D9</f>
        <v>0</v>
      </c>
      <c r="E9" s="1">
        <f>'General Account Detail'!E9</f>
        <v>-8112.4</v>
      </c>
      <c r="F9" s="1">
        <f>'General Account Detail'!F9</f>
        <v>0</v>
      </c>
      <c r="G9" s="1">
        <f>'General Account Detail'!G9</f>
        <v>-8126.62</v>
      </c>
      <c r="H9" s="1">
        <f>'General Account Detail'!H9</f>
        <v>0</v>
      </c>
    </row>
    <row r="10" spans="1:8" ht="18" customHeight="1" x14ac:dyDescent="0.25">
      <c r="A10" s="18">
        <f>ROW('General Account Detail'!B10)-1</f>
        <v>9</v>
      </c>
      <c r="B10" s="22" t="str">
        <f>'General Account Detail'!B10</f>
        <v>Appropriation to Highway Fund</v>
      </c>
      <c r="C10" s="1">
        <f>'General Account Detail'!C10</f>
        <v>-1059359.6707575484</v>
      </c>
      <c r="D10" s="1">
        <f>'General Account Detail'!D10</f>
        <v>-959512.87</v>
      </c>
      <c r="E10" s="1">
        <f>'General Account Detail'!E10</f>
        <v>-841365</v>
      </c>
      <c r="F10" s="1">
        <f>'General Account Detail'!F10</f>
        <v>-841365.2200000002</v>
      </c>
      <c r="G10" s="1">
        <f>'General Account Detail'!G10</f>
        <v>-856341</v>
      </c>
      <c r="H10" s="1">
        <f>'General Account Detail'!H10</f>
        <v>-856340.78</v>
      </c>
    </row>
    <row r="11" spans="1:8" ht="18" customHeight="1" x14ac:dyDescent="0.25">
      <c r="A11" s="18">
        <f>ROW('General Account Detail'!B11)-1</f>
        <v>10</v>
      </c>
      <c r="B11" s="36" t="s">
        <v>4</v>
      </c>
      <c r="C11" s="12">
        <f>'General Account Detail'!C11</f>
        <v>68128.65863688034</v>
      </c>
      <c r="D11" s="12">
        <f>'General Account Detail'!D11</f>
        <v>108414.2422718663</v>
      </c>
      <c r="E11" s="12">
        <f>'General Account Detail'!E11</f>
        <v>48102.739999999874</v>
      </c>
      <c r="F11" s="12">
        <f>'General Account Detail'!F11</f>
        <v>95144.200000000186</v>
      </c>
      <c r="G11" s="12">
        <f>'General Account Detail'!G11</f>
        <v>-95616.240000000107</v>
      </c>
      <c r="H11" s="12">
        <f>'General Account Detail'!H11</f>
        <v>66152.829999999958</v>
      </c>
    </row>
    <row r="12" spans="1:8" ht="18" customHeight="1" x14ac:dyDescent="0.25">
      <c r="A12" s="18">
        <f>ROW('General Account Detail'!B12)-1</f>
        <v>11</v>
      </c>
      <c r="B12" s="44" t="str">
        <f>'General Account Detail'!B12</f>
        <v>* Actual "current year taxes" includes both town and education tax revenues; Budget "current year taxes" includes only town tax revenues.</v>
      </c>
      <c r="C12" s="4"/>
      <c r="D12" s="4"/>
      <c r="E12" s="4"/>
      <c r="F12" s="4"/>
      <c r="G12" s="4"/>
      <c r="H12" s="4"/>
    </row>
    <row r="13" spans="1:8" ht="18" customHeight="1" x14ac:dyDescent="0.25">
      <c r="B13" s="23"/>
      <c r="C13" s="4"/>
      <c r="D13" s="4"/>
      <c r="E13" s="4"/>
      <c r="F13" s="4"/>
      <c r="G13" s="4"/>
      <c r="H13" s="4"/>
    </row>
    <row r="14" spans="1:8" ht="18" customHeight="1" x14ac:dyDescent="0.25">
      <c r="B14" s="20" t="s">
        <v>251</v>
      </c>
      <c r="C14" s="3"/>
      <c r="F14" s="3"/>
    </row>
    <row r="15" spans="1:8" ht="18" customHeight="1" x14ac:dyDescent="0.25">
      <c r="A15" s="18">
        <f>ROW('General Account Detail'!B21)-1</f>
        <v>20</v>
      </c>
      <c r="B15" s="21" t="str">
        <f>'General Account Detail'!B14</f>
        <v>Other Taxes (100-6-10-00-305)</v>
      </c>
      <c r="C15" s="10">
        <f>'General Account Detail'!C21</f>
        <v>298604</v>
      </c>
      <c r="D15" s="9">
        <f>'General Account Detail'!D21</f>
        <v>280433</v>
      </c>
      <c r="E15" s="9">
        <f>'General Account Detail'!E21</f>
        <v>481870.45</v>
      </c>
      <c r="F15" s="10">
        <f>'General Account Detail'!F21</f>
        <v>280409</v>
      </c>
      <c r="G15" s="9">
        <f>'General Account Detail'!G21</f>
        <v>472412.98</v>
      </c>
      <c r="H15" s="9">
        <f>'General Account Detail'!H21</f>
        <v>285354</v>
      </c>
    </row>
    <row r="16" spans="1:8" ht="18" customHeight="1" x14ac:dyDescent="0.25">
      <c r="A16" s="18">
        <f>ROW('General Account Detail'!B26)-1</f>
        <v>25</v>
      </c>
      <c r="B16" s="22" t="str">
        <f>'General Account Detail'!B23</f>
        <v>Penalties and Interest (Taxes) (100-6-10-00-310)</v>
      </c>
      <c r="C16" s="3">
        <f>'General Account Detail'!C26</f>
        <v>20000</v>
      </c>
      <c r="D16" s="1">
        <f>'General Account Detail'!D26</f>
        <v>15000</v>
      </c>
      <c r="E16" s="1">
        <f>'General Account Detail'!E26</f>
        <v>84328.94</v>
      </c>
      <c r="F16" s="3">
        <f>'General Account Detail'!F26</f>
        <v>15000</v>
      </c>
      <c r="G16" s="1">
        <f>'General Account Detail'!G26</f>
        <v>40441.040000000001</v>
      </c>
      <c r="H16" s="1">
        <f>'General Account Detail'!H26</f>
        <v>10000</v>
      </c>
    </row>
    <row r="17" spans="1:8" ht="18" customHeight="1" x14ac:dyDescent="0.25">
      <c r="A17" s="18">
        <f>ROW('General Account Detail'!B31)-1</f>
        <v>30</v>
      </c>
      <c r="B17" s="22" t="str">
        <f>'General Account Detail'!B28</f>
        <v>Earnings on Accounts (100-6-10-05-315)</v>
      </c>
      <c r="C17" s="3">
        <f>'General Account Detail'!C31</f>
        <v>1000</v>
      </c>
      <c r="D17" s="1">
        <f>'General Account Detail'!D31</f>
        <v>2000</v>
      </c>
      <c r="E17" s="1">
        <f>'General Account Detail'!E31</f>
        <v>12.97</v>
      </c>
      <c r="F17" s="3">
        <f>'General Account Detail'!F31</f>
        <v>2000</v>
      </c>
      <c r="G17" s="1">
        <f>'General Account Detail'!G31</f>
        <v>780.18</v>
      </c>
      <c r="H17" s="1">
        <f>'General Account Detail'!H31</f>
        <v>2000</v>
      </c>
    </row>
    <row r="18" spans="1:8" ht="18" customHeight="1" x14ac:dyDescent="0.25">
      <c r="A18" s="18">
        <f>ROW('General Account Detail'!B46)-1</f>
        <v>45</v>
      </c>
      <c r="B18" s="22" t="str">
        <f>'General Account Detail'!B33</f>
        <v>Income Accounts (100-6-10-10-320)</v>
      </c>
      <c r="C18" s="3">
        <f>'General Account Detail'!C46</f>
        <v>16485</v>
      </c>
      <c r="D18" s="3">
        <f>'General Account Detail'!D46</f>
        <v>15835</v>
      </c>
      <c r="E18" s="3">
        <f>'General Account Detail'!E46</f>
        <v>16310.8</v>
      </c>
      <c r="F18" s="3">
        <f>'General Account Detail'!F46</f>
        <v>11935</v>
      </c>
      <c r="G18" s="3">
        <f>'General Account Detail'!G46</f>
        <v>20185.88</v>
      </c>
      <c r="H18" s="3">
        <f>'General Account Detail'!H46</f>
        <v>12135</v>
      </c>
    </row>
    <row r="19" spans="1:8" ht="18" customHeight="1" x14ac:dyDescent="0.25">
      <c r="A19" s="18">
        <f>ROW('General Account Detail'!B52)-1</f>
        <v>51</v>
      </c>
      <c r="B19" s="22" t="str">
        <f>'General Account Detail'!B48</f>
        <v>Town Permits (100-6-10-15-325)</v>
      </c>
      <c r="C19" s="3">
        <f>'General Account Detail'!C52</f>
        <v>8500</v>
      </c>
      <c r="D19" s="1">
        <f>'General Account Detail'!D52</f>
        <v>6125</v>
      </c>
      <c r="E19" s="1">
        <f>'General Account Detail'!E52</f>
        <v>9015.16</v>
      </c>
      <c r="F19" s="3">
        <f>'General Account Detail'!F52</f>
        <v>6125</v>
      </c>
      <c r="G19" s="1">
        <f>'General Account Detail'!G52</f>
        <v>5026</v>
      </c>
      <c r="H19" s="1">
        <f>'General Account Detail'!H52</f>
        <v>1850</v>
      </c>
    </row>
    <row r="20" spans="1:8" ht="18" customHeight="1" x14ac:dyDescent="0.25">
      <c r="A20" s="18">
        <f>ROW('General Account Detail'!B59)-1</f>
        <v>58</v>
      </c>
      <c r="B20" s="22" t="str">
        <f>'General Account Detail'!B54</f>
        <v>Misc. Income (100-6-10-20-340)</v>
      </c>
      <c r="C20" s="3">
        <f>'General Account Detail'!C59</f>
        <v>21500</v>
      </c>
      <c r="D20" s="1">
        <f>'General Account Detail'!D59</f>
        <v>20285</v>
      </c>
      <c r="E20" s="1">
        <f>'General Account Detail'!E59</f>
        <v>23665.89</v>
      </c>
      <c r="F20" s="3">
        <f>'General Account Detail'!F59</f>
        <v>20285</v>
      </c>
      <c r="G20" s="1">
        <f>'General Account Detail'!G59</f>
        <v>20397.509999999998</v>
      </c>
      <c r="H20" s="1">
        <f>'General Account Detail'!H59</f>
        <v>10591.58</v>
      </c>
    </row>
    <row r="21" spans="1:8" ht="18" customHeight="1" x14ac:dyDescent="0.25">
      <c r="A21" s="18">
        <f>ROW('General Account Detail'!B65)-1</f>
        <v>64</v>
      </c>
      <c r="B21" s="22" t="str">
        <f>'General Account Detail'!B61</f>
        <v>State Funds and Other Grants (100-6-20-00-355)</v>
      </c>
      <c r="C21" s="3">
        <f>'General Account Detail'!C65</f>
        <v>607</v>
      </c>
      <c r="D21" s="1">
        <f>'General Account Detail'!D65</f>
        <v>607</v>
      </c>
      <c r="E21" s="1">
        <f>'General Account Detail'!E65</f>
        <v>605</v>
      </c>
      <c r="F21" s="3">
        <f>'General Account Detail'!F65</f>
        <v>607</v>
      </c>
      <c r="G21" s="1">
        <f>'General Account Detail'!G65</f>
        <v>6488.43</v>
      </c>
      <c r="H21" s="1">
        <f>'General Account Detail'!H65</f>
        <v>607</v>
      </c>
    </row>
    <row r="22" spans="1:8" ht="18" customHeight="1" x14ac:dyDescent="0.25">
      <c r="A22" s="18">
        <f>ROW('General Account Detail'!B69)-1</f>
        <v>68</v>
      </c>
      <c r="B22" s="22" t="str">
        <f>'General Account Detail'!B67</f>
        <v>Public Safety (100-6-50-40)</v>
      </c>
      <c r="C22" s="3">
        <f>'General Account Detail'!C69</f>
        <v>0</v>
      </c>
      <c r="D22" s="1">
        <f>'General Account Detail'!D69</f>
        <v>0</v>
      </c>
      <c r="E22" s="1">
        <f>'General Account Detail'!E69</f>
        <v>102.91</v>
      </c>
      <c r="F22" s="3">
        <f>'General Account Detail'!F69</f>
        <v>0</v>
      </c>
      <c r="G22" s="1">
        <f>'General Account Detail'!G69</f>
        <v>1219</v>
      </c>
      <c r="H22" s="1">
        <f>'General Account Detail'!H69</f>
        <v>0</v>
      </c>
    </row>
    <row r="23" spans="1:8" ht="18" customHeight="1" x14ac:dyDescent="0.25">
      <c r="B23" s="36" t="s">
        <v>252</v>
      </c>
      <c r="C23" s="30">
        <f t="shared" ref="C23:H23" si="0">SUM(C15:C22)</f>
        <v>366696</v>
      </c>
      <c r="D23" s="12">
        <f t="shared" si="0"/>
        <v>340285</v>
      </c>
      <c r="E23" s="12">
        <f t="shared" si="0"/>
        <v>615912.12000000011</v>
      </c>
      <c r="F23" s="30">
        <f t="shared" si="0"/>
        <v>336361</v>
      </c>
      <c r="G23" s="12">
        <f t="shared" si="0"/>
        <v>566951.02</v>
      </c>
      <c r="H23" s="12">
        <f t="shared" si="0"/>
        <v>322537.58</v>
      </c>
    </row>
    <row r="24" spans="1:8" ht="18" customHeight="1" x14ac:dyDescent="0.25">
      <c r="B24" s="23"/>
      <c r="C24" s="5"/>
      <c r="D24" s="4"/>
      <c r="E24" s="4"/>
      <c r="F24" s="5"/>
      <c r="G24" s="4"/>
      <c r="H24" s="4"/>
    </row>
    <row r="25" spans="1:8" ht="18" customHeight="1" x14ac:dyDescent="0.25">
      <c r="A25" s="18">
        <f>ROW('General Account Detail'!B71)-1</f>
        <v>70</v>
      </c>
      <c r="B25" s="36" t="s">
        <v>36</v>
      </c>
      <c r="C25" s="30">
        <f>'General Account Detail'!C71</f>
        <v>434824.65863688034</v>
      </c>
      <c r="D25" s="12">
        <f>'General Account Detail'!D71</f>
        <v>448699.2422718663</v>
      </c>
      <c r="E25" s="12">
        <f>'General Account Detail'!E71</f>
        <v>664014.86</v>
      </c>
      <c r="F25" s="30">
        <f>'General Account Detail'!F71</f>
        <v>431505.20000000019</v>
      </c>
      <c r="G25" s="12">
        <f>'General Account Detail'!G71</f>
        <v>471334.77999999985</v>
      </c>
      <c r="H25" s="12">
        <f>'General Account Detail'!H71</f>
        <v>388690.41</v>
      </c>
    </row>
    <row r="26" spans="1:8" ht="18" customHeight="1" x14ac:dyDescent="0.25">
      <c r="B26" s="23"/>
      <c r="C26" s="5"/>
      <c r="D26" s="4"/>
      <c r="E26" s="4"/>
      <c r="F26" s="5"/>
      <c r="G26" s="4"/>
      <c r="H26" s="4"/>
    </row>
    <row r="27" spans="1:8" ht="18" customHeight="1" x14ac:dyDescent="0.25">
      <c r="B27" s="19" t="s">
        <v>254</v>
      </c>
      <c r="C27" s="3"/>
      <c r="F27" s="3"/>
    </row>
    <row r="28" spans="1:8" ht="18" customHeight="1" x14ac:dyDescent="0.25">
      <c r="B28" s="25"/>
      <c r="C28" s="3"/>
      <c r="F28" s="3"/>
    </row>
    <row r="29" spans="1:8" ht="18" customHeight="1" x14ac:dyDescent="0.25">
      <c r="B29" s="24" t="s">
        <v>255</v>
      </c>
      <c r="C29" s="8"/>
      <c r="D29" s="11"/>
      <c r="E29" s="11"/>
      <c r="F29" s="8"/>
      <c r="G29" s="11"/>
      <c r="H29" s="11"/>
    </row>
    <row r="30" spans="1:8" ht="18" customHeight="1" x14ac:dyDescent="0.25">
      <c r="A30" s="18">
        <f>ROW('General Account Detail'!B82)-1</f>
        <v>81</v>
      </c>
      <c r="B30" s="22" t="str">
        <f>'General Account Detail'!B75</f>
        <v>Clerk (100-7-10-10)</v>
      </c>
      <c r="C30" s="1">
        <f>'General Account Detail'!C82</f>
        <v>41436</v>
      </c>
      <c r="D30" s="1">
        <f>'General Account Detail'!D82</f>
        <v>40150</v>
      </c>
      <c r="E30" s="1">
        <f>'General Account Detail'!E82</f>
        <v>35992.81</v>
      </c>
      <c r="F30" s="1">
        <f>'General Account Detail'!F82</f>
        <v>37610</v>
      </c>
      <c r="G30" s="1">
        <f>'General Account Detail'!G82</f>
        <v>38376.36</v>
      </c>
      <c r="H30" s="1">
        <f>'General Account Detail'!H82</f>
        <v>40180</v>
      </c>
    </row>
    <row r="31" spans="1:8" ht="18" customHeight="1" x14ac:dyDescent="0.25">
      <c r="A31" s="18">
        <f>ROW('General Account Detail'!B91)-1</f>
        <v>90</v>
      </c>
      <c r="B31" s="22" t="str">
        <f>'General Account Detail'!B84</f>
        <v>Treasurer (100-7-10-15)</v>
      </c>
      <c r="C31" s="1">
        <f>'General Account Detail'!C91</f>
        <v>46086</v>
      </c>
      <c r="D31" s="1">
        <f>'General Account Detail'!D91</f>
        <v>44600</v>
      </c>
      <c r="E31" s="1">
        <f>'General Account Detail'!E91</f>
        <v>39330.840000000004</v>
      </c>
      <c r="F31" s="1">
        <f>'General Account Detail'!F91</f>
        <v>42060</v>
      </c>
      <c r="G31" s="1">
        <f>'General Account Detail'!G91</f>
        <v>41568.560000000005</v>
      </c>
      <c r="H31" s="1">
        <f>'General Account Detail'!H91</f>
        <v>42630</v>
      </c>
    </row>
    <row r="32" spans="1:8" ht="18" customHeight="1" x14ac:dyDescent="0.25">
      <c r="A32" s="18">
        <f>ROW('General Account Detail'!B101)-1</f>
        <v>100</v>
      </c>
      <c r="B32" s="22" t="str">
        <f>'General Account Detail'!B94</f>
        <v>Listers (100-7-10-20)</v>
      </c>
      <c r="C32" s="1">
        <f>'General Account Detail'!C101</f>
        <v>20600</v>
      </c>
      <c r="D32" s="1">
        <f>'General Account Detail'!D101</f>
        <v>20600</v>
      </c>
      <c r="E32" s="1">
        <f>'General Account Detail'!E101</f>
        <v>17934.46</v>
      </c>
      <c r="F32" s="1">
        <f>'General Account Detail'!F101</f>
        <v>20650</v>
      </c>
      <c r="G32" s="1">
        <f>'General Account Detail'!G101</f>
        <v>15741.259999999998</v>
      </c>
      <c r="H32" s="1">
        <f>'General Account Detail'!H101</f>
        <v>20650</v>
      </c>
    </row>
    <row r="33" spans="1:8" ht="18" customHeight="1" x14ac:dyDescent="0.25">
      <c r="A33" s="18">
        <f>ROW('General Account Detail'!B119)-1</f>
        <v>118</v>
      </c>
      <c r="B33" s="22" t="str">
        <f>'General Account Detail'!B103</f>
        <v>Other Officers (100-7-10-25)</v>
      </c>
      <c r="C33" s="1">
        <f>'General Account Detail'!C119</f>
        <v>45040.05</v>
      </c>
      <c r="D33" s="1">
        <f>'General Account Detail'!D119</f>
        <v>49760</v>
      </c>
      <c r="E33" s="1">
        <f>'General Account Detail'!E119</f>
        <v>34948.300000000003</v>
      </c>
      <c r="F33" s="1">
        <f>'General Account Detail'!F119</f>
        <v>51060</v>
      </c>
      <c r="G33" s="1">
        <f>'General Account Detail'!G119</f>
        <v>37956.300000000003</v>
      </c>
      <c r="H33" s="1">
        <f>'General Account Detail'!H119</f>
        <v>48660</v>
      </c>
    </row>
    <row r="34" spans="1:8" ht="18" customHeight="1" x14ac:dyDescent="0.25">
      <c r="A34" s="18">
        <f>ROW('General Account Detail'!B136)-1</f>
        <v>135</v>
      </c>
      <c r="B34" s="22" t="str">
        <f>'General Account Detail'!B121</f>
        <v>Municipal Office (100-7-10-30)</v>
      </c>
      <c r="C34" s="1">
        <f>'General Account Detail'!C136</f>
        <v>33800</v>
      </c>
      <c r="D34" s="1">
        <f>'General Account Detail'!D136</f>
        <v>33300</v>
      </c>
      <c r="E34" s="1">
        <f>'General Account Detail'!E136</f>
        <v>50018.510000000009</v>
      </c>
      <c r="F34" s="1">
        <f>'General Account Detail'!F136</f>
        <v>26300</v>
      </c>
      <c r="G34" s="1">
        <f>'General Account Detail'!G136</f>
        <v>19689.78</v>
      </c>
      <c r="H34" s="1">
        <f>'General Account Detail'!H136</f>
        <v>26800</v>
      </c>
    </row>
    <row r="35" spans="1:8" ht="18" customHeight="1" x14ac:dyDescent="0.25">
      <c r="A35" s="18">
        <f>ROW('General Account Detail'!B141)-1</f>
        <v>140</v>
      </c>
      <c r="B35" s="22" t="str">
        <f>'General Account Detail'!B138</f>
        <v>Professional Fees (100-7-10-45)</v>
      </c>
      <c r="C35" s="1">
        <f>'General Account Detail'!C141</f>
        <v>18000</v>
      </c>
      <c r="D35" s="1">
        <f>'General Account Detail'!D141</f>
        <v>19000</v>
      </c>
      <c r="E35" s="1">
        <f>'General Account Detail'!E141</f>
        <v>4445.08</v>
      </c>
      <c r="F35" s="1">
        <f>'General Account Detail'!F141</f>
        <v>19000</v>
      </c>
      <c r="G35" s="1">
        <f>'General Account Detail'!G141</f>
        <v>10815.6</v>
      </c>
      <c r="H35" s="1">
        <f>'General Account Detail'!H141</f>
        <v>19000</v>
      </c>
    </row>
    <row r="36" spans="1:8" ht="18" customHeight="1" x14ac:dyDescent="0.25">
      <c r="A36" s="18">
        <f>ROW('General Account Detail'!B148)-1</f>
        <v>147</v>
      </c>
      <c r="B36" s="22" t="str">
        <f>'General Account Detail'!B143</f>
        <v>Assessments (100-7-10-55)</v>
      </c>
      <c r="C36" s="1">
        <f>'General Account Detail'!C148</f>
        <v>30325.19</v>
      </c>
      <c r="D36" s="1">
        <f>'General Account Detail'!D148</f>
        <v>31840</v>
      </c>
      <c r="E36" s="1">
        <f>'General Account Detail'!E148</f>
        <v>38357</v>
      </c>
      <c r="F36" s="1">
        <f>'General Account Detail'!F148</f>
        <v>32380</v>
      </c>
      <c r="G36" s="1">
        <f>'General Account Detail'!G148</f>
        <v>31124</v>
      </c>
      <c r="H36" s="1">
        <f>'General Account Detail'!H148</f>
        <v>32380</v>
      </c>
    </row>
    <row r="37" spans="1:8" ht="18" customHeight="1" x14ac:dyDescent="0.25">
      <c r="A37" s="18">
        <f>ROW('General Account Detail'!B157)-1</f>
        <v>156</v>
      </c>
      <c r="B37" s="22" t="str">
        <f>'General Account Detail'!B150</f>
        <v>Town Hall (100-7-10-65)</v>
      </c>
      <c r="C37" s="1">
        <f>'General Account Detail'!C157</f>
        <v>8350</v>
      </c>
      <c r="D37" s="1">
        <f>'General Account Detail'!D157</f>
        <v>10150</v>
      </c>
      <c r="E37" s="1">
        <f>'General Account Detail'!E157</f>
        <v>5023.3500000000004</v>
      </c>
      <c r="F37" s="1">
        <f>'General Account Detail'!F157</f>
        <v>8950</v>
      </c>
      <c r="G37" s="1">
        <f>'General Account Detail'!G157</f>
        <v>5547.54</v>
      </c>
      <c r="H37" s="1">
        <f>'General Account Detail'!H157</f>
        <v>8950</v>
      </c>
    </row>
    <row r="38" spans="1:8" ht="18" customHeight="1" x14ac:dyDescent="0.25">
      <c r="A38" s="18">
        <f>ROW('General Account Detail'!B165)-1</f>
        <v>164</v>
      </c>
      <c r="B38" s="22" t="str">
        <f>'General Account Detail'!B159</f>
        <v xml:space="preserve">Brick Building (100-7-20-33) </v>
      </c>
      <c r="C38" s="1">
        <f>'General Account Detail'!C165</f>
        <v>0</v>
      </c>
      <c r="D38" s="1">
        <f>'General Account Detail'!D165</f>
        <v>1500</v>
      </c>
      <c r="E38" s="1">
        <f>'General Account Detail'!E165</f>
        <v>530.53</v>
      </c>
      <c r="F38" s="1">
        <f>'General Account Detail'!F165</f>
        <v>1500</v>
      </c>
      <c r="G38" s="1">
        <f>'General Account Detail'!G165</f>
        <v>856.67</v>
      </c>
      <c r="H38" s="1">
        <f>'General Account Detail'!H165</f>
        <v>2500</v>
      </c>
    </row>
    <row r="39" spans="1:8" ht="18" customHeight="1" x14ac:dyDescent="0.25">
      <c r="A39" s="18">
        <f>ROW('General Account Detail'!B176)-1</f>
        <v>175</v>
      </c>
      <c r="B39" s="22" t="str">
        <f>'General Account Detail'!B167</f>
        <v>Misc Town Expenses (100-7-20-35)</v>
      </c>
      <c r="C39" s="1">
        <f>'General Account Detail'!C176</f>
        <v>9900</v>
      </c>
      <c r="D39" s="1">
        <f>'General Account Detail'!D176</f>
        <v>8850</v>
      </c>
      <c r="E39" s="1">
        <f>'General Account Detail'!E176</f>
        <v>6731.95</v>
      </c>
      <c r="F39" s="1">
        <f>'General Account Detail'!F176</f>
        <v>8525</v>
      </c>
      <c r="G39" s="1">
        <f>'General Account Detail'!G176</f>
        <v>6463.3</v>
      </c>
      <c r="H39" s="1">
        <f>'General Account Detail'!H176</f>
        <v>8175</v>
      </c>
    </row>
    <row r="40" spans="1:8" ht="18" customHeight="1" x14ac:dyDescent="0.25">
      <c r="A40" s="18">
        <f>ROW('General Account Detail'!B208)-1</f>
        <v>207</v>
      </c>
      <c r="B40" s="22" t="str">
        <f>'General Account Detail'!B178</f>
        <v>Fire Department (100-7-30-40)</v>
      </c>
      <c r="C40" s="1">
        <f>'General Account Detail'!C208</f>
        <v>135973</v>
      </c>
      <c r="D40" s="1">
        <f>'General Account Detail'!D208</f>
        <v>57235</v>
      </c>
      <c r="E40" s="1">
        <f>'General Account Detail'!E208</f>
        <v>49185.499999999993</v>
      </c>
      <c r="F40" s="1">
        <f>'General Account Detail'!F208</f>
        <v>51995</v>
      </c>
      <c r="G40" s="1">
        <f>'General Account Detail'!G208</f>
        <v>57957.94</v>
      </c>
      <c r="H40" s="1">
        <f>'General Account Detail'!H208</f>
        <v>57115</v>
      </c>
    </row>
    <row r="41" spans="1:8" ht="18" customHeight="1" x14ac:dyDescent="0.25">
      <c r="A41" s="18">
        <f>ROW('General Account Detail'!B215)-1</f>
        <v>214</v>
      </c>
      <c r="B41" s="22" t="str">
        <f>'General Account Detail'!B210</f>
        <v>Contract Services (100-7-30-42)</v>
      </c>
      <c r="C41" s="1">
        <f>'General Account Detail'!C215</f>
        <v>97660.5</v>
      </c>
      <c r="D41" s="1">
        <f>'General Account Detail'!D215</f>
        <v>92452</v>
      </c>
      <c r="E41" s="1">
        <f>'General Account Detail'!E215</f>
        <v>93812.38</v>
      </c>
      <c r="F41" s="1">
        <f>'General Account Detail'!F215</f>
        <v>85452</v>
      </c>
      <c r="G41" s="1">
        <f>'General Account Detail'!G215</f>
        <v>79915.179999999993</v>
      </c>
      <c r="H41" s="1">
        <f>'General Account Detail'!H215</f>
        <v>88652</v>
      </c>
    </row>
    <row r="42" spans="1:8" ht="18" customHeight="1" x14ac:dyDescent="0.25">
      <c r="A42" s="18">
        <f>ROW('General Account Detail'!B220)-1</f>
        <v>219</v>
      </c>
      <c r="B42" s="22" t="str">
        <f>'General Account Detail'!B217</f>
        <v>Fast Squad (100-7-30-44)</v>
      </c>
      <c r="C42" s="1">
        <f>'General Account Detail'!C220</f>
        <v>3000</v>
      </c>
      <c r="D42" s="1">
        <f>'General Account Detail'!D220</f>
        <v>3000</v>
      </c>
      <c r="E42" s="1">
        <f>'General Account Detail'!E220</f>
        <v>2450</v>
      </c>
      <c r="F42" s="1">
        <f>'General Account Detail'!F220</f>
        <v>3000</v>
      </c>
      <c r="G42" s="1">
        <f>'General Account Detail'!G220</f>
        <v>0</v>
      </c>
      <c r="H42" s="1">
        <f>'General Account Detail'!H220</f>
        <v>3000</v>
      </c>
    </row>
    <row r="43" spans="1:8" ht="18" customHeight="1" x14ac:dyDescent="0.25">
      <c r="A43" s="18">
        <f>ROW('General Account Detail'!B225)-1</f>
        <v>224</v>
      </c>
      <c r="B43" s="22" t="str">
        <f>'General Account Detail'!B222</f>
        <v>Communications and Disaster (100-7-30-46)</v>
      </c>
      <c r="C43" s="1">
        <f>'General Account Detail'!C225</f>
        <v>1400</v>
      </c>
      <c r="D43" s="1">
        <f>'General Account Detail'!D225</f>
        <v>1400</v>
      </c>
      <c r="E43" s="1">
        <f>'General Account Detail'!E225</f>
        <v>938.85</v>
      </c>
      <c r="F43" s="1">
        <f>'General Account Detail'!F225</f>
        <v>900</v>
      </c>
      <c r="G43" s="1">
        <f>'General Account Detail'!G225</f>
        <v>357.42</v>
      </c>
      <c r="H43" s="1">
        <f>'General Account Detail'!H225</f>
        <v>800</v>
      </c>
    </row>
    <row r="44" spans="1:8" ht="18" customHeight="1" x14ac:dyDescent="0.25">
      <c r="A44" s="18">
        <f>ROW('General Account Detail'!B231)-1</f>
        <v>230</v>
      </c>
      <c r="B44" s="22" t="str">
        <f>'General Account Detail'!B227</f>
        <v>Municipal Special Projects (100-7-90-75)</v>
      </c>
      <c r="C44" s="1">
        <f>'General Account Detail'!C231</f>
        <v>1500</v>
      </c>
      <c r="D44" s="1">
        <f>'General Account Detail'!D231</f>
        <v>1500</v>
      </c>
      <c r="E44" s="1">
        <f>'General Account Detail'!E231</f>
        <v>0</v>
      </c>
      <c r="F44" s="1">
        <f>'General Account Detail'!F231</f>
        <v>0</v>
      </c>
      <c r="G44" s="1">
        <f>'General Account Detail'!G231</f>
        <v>5000</v>
      </c>
      <c r="H44" s="1">
        <f>'General Account Detail'!H231</f>
        <v>1000</v>
      </c>
    </row>
    <row r="45" spans="1:8" ht="18" customHeight="1" x14ac:dyDescent="0.25">
      <c r="A45" s="18">
        <f>ROW('General Account Detail'!B238)-1</f>
        <v>237</v>
      </c>
      <c r="B45" s="22" t="str">
        <f>'General Account Detail'!B233</f>
        <v>Reserve Accounts</v>
      </c>
      <c r="C45" s="1">
        <f>'General Account Detail'!C238</f>
        <v>16300</v>
      </c>
      <c r="D45" s="1">
        <f>'General Account Detail'!D238</f>
        <v>25800</v>
      </c>
      <c r="E45" s="1">
        <f>'General Account Detail'!E238</f>
        <v>17500</v>
      </c>
      <c r="F45" s="1">
        <f>'General Account Detail'!F238</f>
        <v>17500</v>
      </c>
      <c r="G45" s="1">
        <f>'General Account Detail'!G238</f>
        <v>15000</v>
      </c>
      <c r="H45" s="1">
        <f>'General Account Detail'!H238</f>
        <v>5000</v>
      </c>
    </row>
    <row r="46" spans="1:8" ht="18" customHeight="1" x14ac:dyDescent="0.25">
      <c r="A46" s="18">
        <f>ROW('General Account Detail'!B242)-1</f>
        <v>241</v>
      </c>
      <c r="B46" s="36" t="str">
        <f>'General Account Detail'!B242</f>
        <v>TOTAL TOWN EXPENDITURES</v>
      </c>
      <c r="C46" s="30">
        <f>'General Account Detail'!C242</f>
        <v>509370.74</v>
      </c>
      <c r="D46" s="12">
        <f>'General Account Detail'!D242</f>
        <v>441137</v>
      </c>
      <c r="E46" s="12">
        <f>'General Account Detail'!E242</f>
        <v>397199.55999999994</v>
      </c>
      <c r="F46" s="30">
        <f>'General Account Detail'!F242</f>
        <v>406882</v>
      </c>
      <c r="G46" s="12">
        <f>'General Account Detail'!G242</f>
        <v>366369.91000000003</v>
      </c>
      <c r="H46" s="12">
        <f>'General Account Detail'!H242</f>
        <v>405492</v>
      </c>
    </row>
    <row r="47" spans="1:8" ht="18" customHeight="1" x14ac:dyDescent="0.25">
      <c r="B47" s="25"/>
      <c r="C47" s="3"/>
      <c r="F47" s="3"/>
    </row>
    <row r="48" spans="1:8" ht="18" customHeight="1" x14ac:dyDescent="0.25">
      <c r="A48" s="18">
        <f>ROW('General Account Detail'!B263)-1</f>
        <v>262</v>
      </c>
      <c r="B48" s="42" t="str">
        <f>'General Account Detail'!B263</f>
        <v>TOTAL VOTED APPROPRIATIONS</v>
      </c>
      <c r="C48" s="30">
        <f>'General Account Detail'!C263</f>
        <v>70829</v>
      </c>
      <c r="D48" s="12">
        <f>'General Account Detail'!D263</f>
        <v>129329</v>
      </c>
      <c r="E48" s="12">
        <f>'General Account Detail'!E263</f>
        <v>69579</v>
      </c>
      <c r="F48" s="30">
        <f>'General Account Detail'!F263</f>
        <v>69579</v>
      </c>
      <c r="G48" s="12">
        <f>'General Account Detail'!G263</f>
        <v>69579</v>
      </c>
      <c r="H48" s="12">
        <f>'General Account Detail'!H263</f>
        <v>69579</v>
      </c>
    </row>
    <row r="49" spans="1:8" ht="18" customHeight="1" x14ac:dyDescent="0.25">
      <c r="B49" s="22"/>
      <c r="C49" s="3"/>
      <c r="F49" s="3"/>
    </row>
    <row r="50" spans="1:8" ht="30" x14ac:dyDescent="0.25">
      <c r="A50" s="29">
        <f>ROW('General Account Detail'!B265)-1</f>
        <v>264</v>
      </c>
      <c r="B50" s="38" t="str">
        <f>'General Account Detail'!B265</f>
        <v>TOTAL TOWN EXPENDITURES AND
TOTAL VOTED APPROPRIATIONS</v>
      </c>
      <c r="C50" s="32">
        <f>'General Account Detail'!C265</f>
        <v>580199.74</v>
      </c>
      <c r="D50" s="33">
        <f>'General Account Detail'!D265</f>
        <v>570466</v>
      </c>
      <c r="E50" s="33">
        <f>'General Account Detail'!E265</f>
        <v>466778.55999999994</v>
      </c>
      <c r="F50" s="32">
        <f>'General Account Detail'!F265</f>
        <v>476461</v>
      </c>
      <c r="G50" s="33">
        <f>'General Account Detail'!G265</f>
        <v>435948.91000000003</v>
      </c>
      <c r="H50" s="33">
        <f>'General Account Detail'!H265</f>
        <v>475071</v>
      </c>
    </row>
    <row r="51" spans="1:8" ht="18" customHeight="1" x14ac:dyDescent="0.25">
      <c r="B51" s="22"/>
      <c r="C51" s="3"/>
      <c r="F51" s="3"/>
    </row>
    <row r="52" spans="1:8" ht="30" x14ac:dyDescent="0.25">
      <c r="A52" s="29">
        <f>ROW('General Account Detail'!B267)-1</f>
        <v>266</v>
      </c>
      <c r="B52" s="38" t="str">
        <f>'General Account Detail'!B267</f>
        <v>TOWN REVENUES LESS TOWN EXPENDITURES
AND LESS VOTED APPROPRIATIONS</v>
      </c>
      <c r="C52" s="34">
        <f>'General Account Detail'!C267</f>
        <v>-145375.08136311965</v>
      </c>
      <c r="D52" s="34">
        <f>'General Account Detail'!D267</f>
        <v>-121766.7577281337</v>
      </c>
      <c r="E52" s="34">
        <f>'General Account Detail'!E267</f>
        <v>197236.30000000005</v>
      </c>
      <c r="F52" s="34">
        <f>'General Account Detail'!F267</f>
        <v>-44955.799999999814</v>
      </c>
      <c r="G52" s="34">
        <f>'General Account Detail'!G267</f>
        <v>35385.869999999821</v>
      </c>
      <c r="H52" s="34">
        <f>'General Account Detail'!H267</f>
        <v>-86380.590000000026</v>
      </c>
    </row>
    <row r="53" spans="1:8" ht="18" customHeight="1" x14ac:dyDescent="0.25">
      <c r="B53" s="20"/>
      <c r="C53" s="7"/>
      <c r="D53" s="7"/>
      <c r="E53" s="7"/>
      <c r="F53" s="7"/>
      <c r="G53" s="7"/>
      <c r="H53" s="7"/>
    </row>
    <row r="54" spans="1:8" ht="18" customHeight="1" x14ac:dyDescent="0.25">
      <c r="A54" s="18">
        <f>ROW('General Account Detail'!B269)-1</f>
        <v>268</v>
      </c>
      <c r="B54" s="26" t="str">
        <f>'General Account Detail'!B269</f>
        <v xml:space="preserve">BEGINNING GENERAL FUND BALANCE </v>
      </c>
      <c r="C54" s="45">
        <f>'General Account Detail'!C269</f>
        <v>242291.80227186601</v>
      </c>
      <c r="D54" s="45">
        <f>'General Account Detail'!D269</f>
        <v>364058.55999999971</v>
      </c>
      <c r="E54" s="52">
        <f>'General Account Detail'!E269</f>
        <v>166822.25999999969</v>
      </c>
      <c r="F54" s="45">
        <f>'General Account Detail'!F269</f>
        <v>166822.25999999969</v>
      </c>
      <c r="G54" s="6">
        <f>'General Account Detail'!G269</f>
        <v>131436.38999999987</v>
      </c>
      <c r="H54" s="45">
        <f>'General Account Detail'!H269</f>
        <v>0</v>
      </c>
    </row>
    <row r="55" spans="1:8" ht="18" customHeight="1" x14ac:dyDescent="0.25">
      <c r="A55" s="18">
        <f>ROW('General Account Detail'!B270)-1</f>
        <v>269</v>
      </c>
      <c r="B55" s="19" t="str">
        <f>'General Account Detail'!B270</f>
        <v>ENDING GENERAL FUND BALANCE*</v>
      </c>
      <c r="C55" s="46">
        <f>'General Account Detail'!C270</f>
        <v>96916.720908746356</v>
      </c>
      <c r="D55" s="46">
        <f>'General Account Detail'!D270</f>
        <v>242291.80227186601</v>
      </c>
      <c r="E55" s="69">
        <f>'General Account Detail'!E270</f>
        <v>364058.55999999971</v>
      </c>
      <c r="F55" s="46">
        <f>'General Account Detail'!F270</f>
        <v>121866.45999999988</v>
      </c>
      <c r="G55" s="7">
        <f>'General Account Detail'!G270</f>
        <v>166822.25999999969</v>
      </c>
      <c r="H55" s="46">
        <f>'General Account Detail'!H270</f>
        <v>0</v>
      </c>
    </row>
    <row r="56" spans="1:8" ht="18" customHeight="1" x14ac:dyDescent="0.25">
      <c r="A56" s="18">
        <f>ROW('General Account Detail'!B271)-1</f>
        <v>270</v>
      </c>
      <c r="B56" s="43" t="str">
        <f>'General Account Detail'!B271</f>
        <v>General Fund Balance Change</v>
      </c>
      <c r="C56" s="47">
        <f>'General Account Detail'!C271</f>
        <v>-145375.08136311965</v>
      </c>
      <c r="D56" s="47">
        <f>'General Account Detail'!D271</f>
        <v>-121766.7577281337</v>
      </c>
      <c r="E56" s="71">
        <f>'General Account Detail'!E271</f>
        <v>197236.30000000002</v>
      </c>
      <c r="F56" s="47">
        <f>'General Account Detail'!F271</f>
        <v>-44955.799999999814</v>
      </c>
      <c r="G56" s="40">
        <f>'General Account Detail'!G271</f>
        <v>35385.869999999821</v>
      </c>
      <c r="H56" s="47">
        <f>'General Account Detail'!H271</f>
        <v>0</v>
      </c>
    </row>
    <row r="57" spans="1:8" ht="18" customHeight="1" x14ac:dyDescent="0.25"/>
    <row r="58" spans="1:8" ht="45" customHeight="1" x14ac:dyDescent="0.25">
      <c r="A58" s="18">
        <f>ROW('General Account Detail'!B273)-1</f>
        <v>272</v>
      </c>
      <c r="B58" s="210" t="str">
        <f>'General Account Detail'!B273:H273</f>
        <v>* $121,767 of the FY 2021 ending General Fund Balance was assigned to reduce taxes to be raised in FY 2023.  As a result, the unassigned FY 2022 ending General Fund Balance was $242,292, of which $145,375 is proposed to be used to reduce taxes to be raised in FY 2024.  See Line 266.  See also Warning Article 15.</v>
      </c>
      <c r="C58" s="210"/>
      <c r="D58" s="211"/>
      <c r="E58" s="211"/>
      <c r="F58" s="211"/>
      <c r="G58" s="211"/>
      <c r="H58" s="211"/>
    </row>
  </sheetData>
  <mergeCells count="1">
    <mergeCell ref="B58:H58"/>
  </mergeCells>
  <printOptions horizontalCentered="1"/>
  <pageMargins left="0.5" right="0.5" top="1.2" bottom="0.5" header="0.3" footer="0.3"/>
  <pageSetup scale="75" fitToHeight="0" orientation="portrait" r:id="rId1"/>
  <headerFooter>
    <oddHeader>&amp;C&amp;"-,Bold"&amp;13Town of Pomfret&amp;"-,Regular"&amp;12
&amp;11General Account Summary&amp;R&amp;11As approved January 18, 2023</oddHeader>
    <oddFooter>&amp;R&amp;11Page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8"/>
  <sheetViews>
    <sheetView zoomScale="75" zoomScaleNormal="7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.625" style="13" customWidth="1"/>
    <col min="2" max="2" width="37.5" style="2" customWidth="1"/>
    <col min="3" max="3" width="12.5" style="2" customWidth="1"/>
    <col min="4" max="8" width="12.5" style="1" customWidth="1"/>
    <col min="9" max="257" width="11" style="2" customWidth="1"/>
    <col min="258" max="16384" width="9" style="2"/>
  </cols>
  <sheetData>
    <row r="1" spans="1:8" ht="18" customHeight="1" x14ac:dyDescent="0.25">
      <c r="A1" s="50"/>
      <c r="B1" s="41" t="str">
        <f>CHAR(COLUMN('General Account Detail'!B2)+63)</f>
        <v>A</v>
      </c>
      <c r="C1" s="14" t="str">
        <f>CHAR(COLUMN('General Account Detail'!C2)+63)</f>
        <v>B</v>
      </c>
      <c r="D1" s="14" t="str">
        <f>CHAR(COLUMN('General Account Detail'!D2)+63)</f>
        <v>C</v>
      </c>
      <c r="E1" s="14" t="str">
        <f>CHAR(COLUMN('General Account Detail'!E2)+63)</f>
        <v>D</v>
      </c>
      <c r="F1" s="14" t="str">
        <f>CHAR(COLUMN('General Account Detail'!F2)+63)</f>
        <v>E</v>
      </c>
      <c r="G1" s="14" t="str">
        <f>CHAR(COLUMN('General Account Detail'!G2)+63)</f>
        <v>F</v>
      </c>
      <c r="H1" s="14" t="str">
        <f>CHAR(COLUMN('General Account Detail'!H2)+63)</f>
        <v>G</v>
      </c>
    </row>
    <row r="2" spans="1:8" ht="45" x14ac:dyDescent="0.25">
      <c r="B2" s="36"/>
      <c r="C2" s="27" t="str">
        <f>'Highway Account Detail'!C2</f>
        <v>FY 2024
Budget
(proposed)</v>
      </c>
      <c r="D2" s="27" t="str">
        <f>'Highway Account Detail'!D2</f>
        <v>FY 2023
Budget</v>
      </c>
      <c r="E2" s="27" t="str">
        <f>'Highway Account Detail'!E2</f>
        <v>FY 2022
Actual</v>
      </c>
      <c r="F2" s="27" t="str">
        <f>'Highway Account Detail'!F2</f>
        <v>FY 2022
Budget</v>
      </c>
      <c r="G2" s="27" t="str">
        <f>'Highway Account Detail'!G2</f>
        <v>FY 2021
Actual</v>
      </c>
      <c r="H2" s="27" t="str">
        <f>'Highway Account Detail'!H2</f>
        <v>FY 2021
Budget</v>
      </c>
    </row>
    <row r="3" spans="1:8" ht="18" customHeight="1" x14ac:dyDescent="0.25">
      <c r="B3" s="19" t="s">
        <v>269</v>
      </c>
      <c r="C3" s="51"/>
      <c r="D3" s="51"/>
      <c r="E3" s="51"/>
      <c r="F3" s="51"/>
      <c r="G3" s="51"/>
      <c r="H3" s="51"/>
    </row>
    <row r="4" spans="1:8" ht="18" customHeight="1" x14ac:dyDescent="0.25">
      <c r="B4" s="20"/>
      <c r="C4" s="3"/>
      <c r="D4" s="3"/>
      <c r="E4" s="3"/>
      <c r="F4" s="3"/>
      <c r="G4" s="3"/>
      <c r="H4" s="3"/>
    </row>
    <row r="5" spans="1:8" ht="18" customHeight="1" x14ac:dyDescent="0.25">
      <c r="A5" s="18">
        <f>ROW('Highway Account Detail'!B6)-1</f>
        <v>5</v>
      </c>
      <c r="B5" s="21" t="str">
        <f>'Highway Account Detail'!B6</f>
        <v>Appropriation from General Fund</v>
      </c>
      <c r="C5" s="10">
        <f>'Highway Account Detail'!C6</f>
        <v>1059359.6707575484</v>
      </c>
      <c r="D5" s="9">
        <f>'Highway Account Detail'!D6</f>
        <v>959512.87</v>
      </c>
      <c r="E5" s="9">
        <f>'Highway Account Detail'!E6</f>
        <v>841365</v>
      </c>
      <c r="F5" s="10">
        <f>'Highway Account Detail'!F6</f>
        <v>841365.2200000002</v>
      </c>
      <c r="G5" s="9">
        <f>'Highway Account Detail'!G6</f>
        <v>856341</v>
      </c>
      <c r="H5" s="9">
        <f>'Highway Account Detail'!H6</f>
        <v>856340.78</v>
      </c>
    </row>
    <row r="6" spans="1:8" ht="18" customHeight="1" x14ac:dyDescent="0.25">
      <c r="A6" s="18">
        <f>ROW('Highway Account Detail'!B7)-1</f>
        <v>6</v>
      </c>
      <c r="B6" s="22" t="str">
        <f>'Highway Account Detail'!B7</f>
        <v>State Aid - Highways</v>
      </c>
      <c r="C6" s="3">
        <f>'Highway Account Detail'!C7</f>
        <v>142163.10999999999</v>
      </c>
      <c r="D6" s="1">
        <f>'Highway Account Detail'!D7</f>
        <v>132500</v>
      </c>
      <c r="E6" s="1">
        <f>'Highway Account Detail'!E7</f>
        <v>138414.78</v>
      </c>
      <c r="F6" s="3">
        <f>'Highway Account Detail'!F7</f>
        <v>132500</v>
      </c>
      <c r="G6" s="1">
        <f>'Highway Account Detail'!G7</f>
        <v>138418.84</v>
      </c>
      <c r="H6" s="1">
        <f>'Highway Account Detail'!H7</f>
        <v>132500</v>
      </c>
    </row>
    <row r="7" spans="1:8" ht="18" customHeight="1" x14ac:dyDescent="0.25">
      <c r="A7" s="18">
        <f>ROW('Highway Account Detail'!B8)-1</f>
        <v>7</v>
      </c>
      <c r="B7" s="22" t="str">
        <f>'Highway Account Detail'!B8</f>
        <v>FEMA 4445DR April 15, 2019 Storm</v>
      </c>
      <c r="C7" s="3">
        <f>'Highway Account Detail'!C8</f>
        <v>0</v>
      </c>
      <c r="D7" s="1">
        <f>'Highway Account Detail'!D8</f>
        <v>0</v>
      </c>
      <c r="E7" s="1">
        <f>'Highway Account Detail'!E8</f>
        <v>0</v>
      </c>
      <c r="F7" s="3">
        <f>'Highway Account Detail'!F8</f>
        <v>0</v>
      </c>
      <c r="G7" s="1">
        <f>'Highway Account Detail'!G8</f>
        <v>64722.82</v>
      </c>
      <c r="H7" s="1">
        <f>'Highway Account Detail'!H8</f>
        <v>60000</v>
      </c>
    </row>
    <row r="8" spans="1:8" ht="18" customHeight="1" x14ac:dyDescent="0.25">
      <c r="A8" s="18">
        <f>ROW('Highway Account Detail'!B9)-1</f>
        <v>8</v>
      </c>
      <c r="B8" s="22" t="str">
        <f>'Highway Account Detail'!B9</f>
        <v>State grant supplement</v>
      </c>
      <c r="C8" s="3">
        <f>'Highway Account Detail'!C9</f>
        <v>0</v>
      </c>
      <c r="D8" s="1">
        <f>'Highway Account Detail'!D9</f>
        <v>0</v>
      </c>
      <c r="E8" s="1">
        <f>'Highway Account Detail'!E9</f>
        <v>15319.4</v>
      </c>
      <c r="F8" s="3">
        <f>'Highway Account Detail'!F9</f>
        <v>0</v>
      </c>
      <c r="G8" s="1">
        <f>'Highway Account Detail'!G9</f>
        <v>0</v>
      </c>
      <c r="H8" s="1">
        <f>'Highway Account Detail'!H9</f>
        <v>0</v>
      </c>
    </row>
    <row r="9" spans="1:8" ht="18" customHeight="1" x14ac:dyDescent="0.25">
      <c r="A9" s="18">
        <f>ROW('Highway Account Detail'!B10)-1</f>
        <v>9</v>
      </c>
      <c r="B9" s="22" t="str">
        <f>'Highway Account Detail'!B10</f>
        <v>Webster Cloudland grant</v>
      </c>
      <c r="C9" s="3">
        <f>'Highway Account Detail'!C10</f>
        <v>0</v>
      </c>
      <c r="D9" s="1">
        <f>'Highway Account Detail'!D10</f>
        <v>0</v>
      </c>
      <c r="E9" s="1">
        <f>'Highway Account Detail'!E10</f>
        <v>22446.560000000001</v>
      </c>
      <c r="F9" s="3">
        <f>'Highway Account Detail'!F10</f>
        <v>0</v>
      </c>
      <c r="G9" s="1">
        <f>'Highway Account Detail'!G10</f>
        <v>0</v>
      </c>
      <c r="H9" s="1">
        <f>'Highway Account Detail'!H10</f>
        <v>0</v>
      </c>
    </row>
    <row r="10" spans="1:8" ht="18" customHeight="1" x14ac:dyDescent="0.25">
      <c r="A10" s="18">
        <f>ROW('Highway Account Detail'!B11)-1</f>
        <v>10</v>
      </c>
      <c r="B10" s="22" t="str">
        <f>'Highway Account Detail'!B11</f>
        <v>Donations to Highway</v>
      </c>
      <c r="C10" s="3">
        <f>'Highway Account Detail'!C11</f>
        <v>0</v>
      </c>
      <c r="D10" s="1">
        <f>'Highway Account Detail'!D11</f>
        <v>0</v>
      </c>
      <c r="E10" s="1">
        <f>'Highway Account Detail'!E11</f>
        <v>1000</v>
      </c>
      <c r="F10" s="3">
        <f>'Highway Account Detail'!F11</f>
        <v>0</v>
      </c>
      <c r="G10" s="1">
        <f>'Highway Account Detail'!G11</f>
        <v>0</v>
      </c>
      <c r="H10" s="1">
        <f>'Highway Account Detail'!H11</f>
        <v>0</v>
      </c>
    </row>
    <row r="11" spans="1:8" ht="18" customHeight="1" x14ac:dyDescent="0.25">
      <c r="A11" s="18">
        <f>ROW('Highway Account Detail'!B12)-1</f>
        <v>11</v>
      </c>
      <c r="B11" s="22" t="str">
        <f>'Highway Account Detail'!B12</f>
        <v>Grant to Comply with Mun. Standards</v>
      </c>
      <c r="C11" s="3">
        <f>'Highway Account Detail'!C12</f>
        <v>35500</v>
      </c>
      <c r="D11" s="1">
        <f>'Highway Account Detail'!D12</f>
        <v>18900</v>
      </c>
      <c r="E11" s="1">
        <f>'Highway Account Detail'!E12</f>
        <v>0</v>
      </c>
      <c r="F11" s="3">
        <f>'Highway Account Detail'!F12</f>
        <v>18900</v>
      </c>
      <c r="G11" s="1">
        <f>'Highway Account Detail'!G12</f>
        <v>0</v>
      </c>
      <c r="H11" s="1">
        <f>'Highway Account Detail'!H12</f>
        <v>0</v>
      </c>
    </row>
    <row r="12" spans="1:8" ht="18" customHeight="1" x14ac:dyDescent="0.25">
      <c r="A12" s="18">
        <f>ROW('Highway Account Detail'!B13)-1</f>
        <v>12</v>
      </c>
      <c r="B12" s="22" t="str">
        <f>'Highway Account Detail'!B13</f>
        <v>Hydroseeder Grant</v>
      </c>
      <c r="C12" s="3">
        <f>'Highway Account Detail'!C13</f>
        <v>0</v>
      </c>
      <c r="D12" s="1">
        <f>'Highway Account Detail'!D13</f>
        <v>0</v>
      </c>
      <c r="E12" s="1">
        <f>'Highway Account Detail'!E13</f>
        <v>0</v>
      </c>
      <c r="F12" s="3">
        <f>'Highway Account Detail'!F13</f>
        <v>0</v>
      </c>
      <c r="G12" s="1">
        <f>'Highway Account Detail'!G13</f>
        <v>5206.0600000000004</v>
      </c>
      <c r="H12" s="1">
        <f>'Highway Account Detail'!H13</f>
        <v>0</v>
      </c>
    </row>
    <row r="13" spans="1:8" ht="18" customHeight="1" x14ac:dyDescent="0.25">
      <c r="A13" s="18">
        <f>ROW('Highway Account Detail'!B14)-1</f>
        <v>13</v>
      </c>
      <c r="B13" s="22" t="str">
        <f>'Highway Account Detail'!B14</f>
        <v>VT Payment in Lieu of Grant</v>
      </c>
      <c r="C13" s="3">
        <f>'Highway Account Detail'!C14</f>
        <v>0</v>
      </c>
      <c r="D13" s="1">
        <f>'Highway Account Detail'!D14</f>
        <v>0</v>
      </c>
      <c r="E13" s="1">
        <f>'Highway Account Detail'!E14</f>
        <v>0</v>
      </c>
      <c r="F13" s="3">
        <f>'Highway Account Detail'!F14</f>
        <v>0</v>
      </c>
      <c r="G13" s="1">
        <f>'Highway Account Detail'!G14</f>
        <v>35746.339999999997</v>
      </c>
      <c r="H13" s="1">
        <f>'Highway Account Detail'!H14</f>
        <v>0</v>
      </c>
    </row>
    <row r="14" spans="1:8" ht="18" customHeight="1" x14ac:dyDescent="0.25">
      <c r="A14" s="18">
        <f>ROW('Highway Account Detail'!B15)-1</f>
        <v>14</v>
      </c>
      <c r="B14" s="22" t="str">
        <f>'Highway Account Detail'!B15</f>
        <v>Bunker Hill Grant</v>
      </c>
      <c r="C14" s="3">
        <f>'Highway Account Detail'!C15</f>
        <v>0</v>
      </c>
      <c r="D14" s="1">
        <f>'Highway Account Detail'!D15</f>
        <v>0</v>
      </c>
      <c r="E14" s="1">
        <f>'Highway Account Detail'!E15</f>
        <v>0</v>
      </c>
      <c r="F14" s="3">
        <f>'Highway Account Detail'!F15</f>
        <v>0</v>
      </c>
      <c r="G14" s="1">
        <f>'Highway Account Detail'!G15</f>
        <v>20130</v>
      </c>
      <c r="H14" s="1">
        <f>'Highway Account Detail'!H15</f>
        <v>0</v>
      </c>
    </row>
    <row r="15" spans="1:8" ht="18" customHeight="1" x14ac:dyDescent="0.25">
      <c r="A15" s="18">
        <f>ROW('Highway Account Detail'!B16)-1</f>
        <v>15</v>
      </c>
      <c r="B15" s="22" t="str">
        <f>'Highway Account Detail'!B16</f>
        <v>Highway Interest Income</v>
      </c>
      <c r="C15" s="1">
        <f>'Highway Account Detail'!C16</f>
        <v>0</v>
      </c>
      <c r="D15" s="1">
        <f>'Highway Account Detail'!D16</f>
        <v>0</v>
      </c>
      <c r="E15" s="1">
        <f>'Highway Account Detail'!E16</f>
        <v>278.10000000000002</v>
      </c>
      <c r="F15" s="1">
        <f>'Highway Account Detail'!F16</f>
        <v>0</v>
      </c>
      <c r="G15" s="1">
        <f>'Highway Account Detail'!G16</f>
        <v>0</v>
      </c>
      <c r="H15" s="1">
        <f>'Highway Account Detail'!H16</f>
        <v>0</v>
      </c>
    </row>
    <row r="16" spans="1:8" ht="18" customHeight="1" x14ac:dyDescent="0.25">
      <c r="A16" s="18">
        <f>ROW('Highway Account Detail'!B17)-1</f>
        <v>16</v>
      </c>
      <c r="B16" s="22" t="str">
        <f>'Highway Account Detail'!B17</f>
        <v>Highway Misc. Income</v>
      </c>
      <c r="C16" s="1">
        <f>'Highway Account Detail'!C17</f>
        <v>0</v>
      </c>
      <c r="D16" s="1">
        <f>'Highway Account Detail'!D17</f>
        <v>0</v>
      </c>
      <c r="E16" s="1">
        <f>'Highway Account Detail'!E17</f>
        <v>2772.87</v>
      </c>
      <c r="F16" s="1">
        <f>'Highway Account Detail'!F17</f>
        <v>0</v>
      </c>
      <c r="G16" s="1">
        <f>'Highway Account Detail'!G17</f>
        <v>12708.18</v>
      </c>
      <c r="H16" s="1">
        <f>'Highway Account Detail'!H17</f>
        <v>0</v>
      </c>
    </row>
    <row r="17" spans="1:8" ht="18" customHeight="1" x14ac:dyDescent="0.25">
      <c r="A17" s="18">
        <f>ROW('Highway Account Detail'!B18)-1</f>
        <v>17</v>
      </c>
      <c r="B17" s="36" t="str">
        <f>'Highway Account Detail'!B18</f>
        <v>TOTAL HIGHWAY REVENUES</v>
      </c>
      <c r="C17" s="12">
        <f>'Highway Account Detail'!C18</f>
        <v>1237022.7807575483</v>
      </c>
      <c r="D17" s="12">
        <f>'Highway Account Detail'!D18</f>
        <v>1110912.8700000001</v>
      </c>
      <c r="E17" s="12">
        <f>'Highway Account Detail'!E18</f>
        <v>1021596.7100000001</v>
      </c>
      <c r="F17" s="12">
        <f>'Highway Account Detail'!F18</f>
        <v>992765.2200000002</v>
      </c>
      <c r="G17" s="12">
        <f>'Highway Account Detail'!G18</f>
        <v>1133273.24</v>
      </c>
      <c r="H17" s="12">
        <f>'Highway Account Detail'!H18</f>
        <v>1048840.78</v>
      </c>
    </row>
    <row r="18" spans="1:8" ht="18" customHeight="1" x14ac:dyDescent="0.25">
      <c r="B18" s="23"/>
      <c r="C18" s="4"/>
      <c r="D18" s="4"/>
      <c r="E18" s="4"/>
      <c r="F18" s="4"/>
      <c r="G18" s="4"/>
      <c r="H18" s="4"/>
    </row>
    <row r="19" spans="1:8" ht="18" customHeight="1" x14ac:dyDescent="0.25">
      <c r="B19" s="19" t="s">
        <v>270</v>
      </c>
      <c r="C19" s="4"/>
      <c r="D19" s="4"/>
      <c r="E19" s="4"/>
      <c r="F19" s="4"/>
      <c r="G19" s="4"/>
      <c r="H19" s="4"/>
    </row>
    <row r="20" spans="1:8" ht="18" customHeight="1" x14ac:dyDescent="0.25">
      <c r="B20" s="24"/>
      <c r="C20" s="8"/>
      <c r="D20" s="11"/>
      <c r="E20" s="11"/>
      <c r="F20" s="8"/>
      <c r="G20" s="11"/>
      <c r="H20" s="11"/>
    </row>
    <row r="21" spans="1:8" ht="18" customHeight="1" x14ac:dyDescent="0.25">
      <c r="A21" s="18">
        <f>ROW('Highway Account Detail'!B35)-1</f>
        <v>34</v>
      </c>
      <c r="B21" s="22" t="str">
        <f>'Highway Account Detail'!B22</f>
        <v>Labor and Benefits (150-7-10-70)</v>
      </c>
      <c r="C21" s="1">
        <f>'Highway Account Detail'!C35</f>
        <v>409224.78075754823</v>
      </c>
      <c r="D21" s="1">
        <f>'Highway Account Detail'!D35</f>
        <v>364741.71</v>
      </c>
      <c r="E21" s="1">
        <f>'Highway Account Detail'!E35</f>
        <v>319039.26999999996</v>
      </c>
      <c r="F21" s="1">
        <f>'Highway Account Detail'!F35</f>
        <v>307185</v>
      </c>
      <c r="G21" s="1">
        <f>'Highway Account Detail'!G35</f>
        <v>295437.14999999997</v>
      </c>
      <c r="H21" s="1">
        <f>'Highway Account Detail'!H35</f>
        <v>280750</v>
      </c>
    </row>
    <row r="22" spans="1:8" ht="18" customHeight="1" x14ac:dyDescent="0.25">
      <c r="A22" s="18">
        <f>ROW('Highway Account Detail'!B42)-1</f>
        <v>41</v>
      </c>
      <c r="B22" s="22" t="str">
        <f>'Highway Account Detail'!B37</f>
        <v>Insurance (150-7-15-85)</v>
      </c>
      <c r="C22" s="1">
        <f>'Highway Account Detail'!C42</f>
        <v>27008</v>
      </c>
      <c r="D22" s="1">
        <f>'Highway Account Detail'!D42</f>
        <v>29300</v>
      </c>
      <c r="E22" s="1">
        <f>'Highway Account Detail'!E42</f>
        <v>19963.79</v>
      </c>
      <c r="F22" s="1">
        <f>'Highway Account Detail'!F42</f>
        <v>29300</v>
      </c>
      <c r="G22" s="1">
        <f>'Highway Account Detail'!G42</f>
        <v>27074.5</v>
      </c>
      <c r="H22" s="1">
        <f>'Highway Account Detail'!H42</f>
        <v>29300</v>
      </c>
    </row>
    <row r="23" spans="1:8" ht="18" customHeight="1" x14ac:dyDescent="0.25">
      <c r="A23" s="18">
        <f>ROW('Highway Account Detail'!B58)-1</f>
        <v>57</v>
      </c>
      <c r="B23" s="22" t="str">
        <f>'Highway Account Detail'!B44</f>
        <v>Materials (150-7-20-75)</v>
      </c>
      <c r="C23" s="1">
        <f>'Highway Account Detail'!C58</f>
        <v>299500</v>
      </c>
      <c r="D23" s="1">
        <f>'Highway Account Detail'!D58</f>
        <v>292000</v>
      </c>
      <c r="E23" s="1">
        <f>'Highway Account Detail'!E58</f>
        <v>265716.23</v>
      </c>
      <c r="F23" s="1">
        <f>'Highway Account Detail'!F58</f>
        <v>278000</v>
      </c>
      <c r="G23" s="1">
        <f>'Highway Account Detail'!G58</f>
        <v>235722.36</v>
      </c>
      <c r="H23" s="1">
        <f>'Highway Account Detail'!H58</f>
        <v>267000</v>
      </c>
    </row>
    <row r="24" spans="1:8" ht="18" customHeight="1" x14ac:dyDescent="0.25">
      <c r="A24" s="18">
        <f>ROW('Highway Account Detail'!B74)-1</f>
        <v>73</v>
      </c>
      <c r="B24" s="22" t="str">
        <f>'Highway Account Detail'!B60</f>
        <v>Small Equipment (150-7-30-80)</v>
      </c>
      <c r="C24" s="1">
        <f>'Highway Account Detail'!C74</f>
        <v>84100</v>
      </c>
      <c r="D24" s="1">
        <f>'Highway Account Detail'!D74</f>
        <v>89600</v>
      </c>
      <c r="E24" s="1">
        <f>'Highway Account Detail'!E74</f>
        <v>84858.57</v>
      </c>
      <c r="F24" s="1">
        <f>'Highway Account Detail'!F74</f>
        <v>78600</v>
      </c>
      <c r="G24" s="1">
        <f>'Highway Account Detail'!G74</f>
        <v>50243.229999999996</v>
      </c>
      <c r="H24" s="1">
        <f>'Highway Account Detail'!H74</f>
        <v>65500</v>
      </c>
    </row>
    <row r="25" spans="1:8" ht="18" customHeight="1" x14ac:dyDescent="0.25">
      <c r="A25" s="18">
        <f>ROW('Highway Account Detail'!B78)-1</f>
        <v>77</v>
      </c>
      <c r="B25" s="22" t="str">
        <f>'Highway Account Detail'!B76</f>
        <v>Large Equipment Maint and Repair (150-7-35-05)</v>
      </c>
      <c r="C25" s="1">
        <f>'Highway Account Detail'!C78</f>
        <v>30000</v>
      </c>
      <c r="D25" s="1">
        <f>'Highway Account Detail'!D78</f>
        <v>25000</v>
      </c>
      <c r="E25" s="1">
        <f>'Highway Account Detail'!E78</f>
        <v>50745.42</v>
      </c>
      <c r="F25" s="1">
        <f>'Highway Account Detail'!F78</f>
        <v>35000</v>
      </c>
      <c r="G25" s="1">
        <f>'Highway Account Detail'!G78</f>
        <v>52235</v>
      </c>
      <c r="H25" s="1">
        <f>'Highway Account Detail'!H78</f>
        <v>35000</v>
      </c>
    </row>
    <row r="26" spans="1:8" ht="18" customHeight="1" x14ac:dyDescent="0.25">
      <c r="A26" s="18">
        <f>ROW('Highway Account Detail'!B86)-1</f>
        <v>85</v>
      </c>
      <c r="B26" s="22" t="str">
        <f>'Highway Account Detail'!B80</f>
        <v>Garage Building (150-7-40-83)</v>
      </c>
      <c r="C26" s="1">
        <f>'Highway Account Detail'!C86</f>
        <v>11000</v>
      </c>
      <c r="D26" s="1">
        <f>'Highway Account Detail'!D86</f>
        <v>6500</v>
      </c>
      <c r="E26" s="1">
        <f>'Highway Account Detail'!E86</f>
        <v>12200.07</v>
      </c>
      <c r="F26" s="1">
        <f>'Highway Account Detail'!F86</f>
        <v>6500</v>
      </c>
      <c r="G26" s="1">
        <f>'Highway Account Detail'!G86</f>
        <v>7543.6600000000008</v>
      </c>
      <c r="H26" s="1">
        <f>'Highway Account Detail'!H86</f>
        <v>14400</v>
      </c>
    </row>
    <row r="27" spans="1:8" ht="18" customHeight="1" x14ac:dyDescent="0.25">
      <c r="A27" s="18">
        <f>ROW('Highway Account Detail'!B93)-1</f>
        <v>92</v>
      </c>
      <c r="B27" s="22" t="str">
        <f>'Highway Account Detail'!B88</f>
        <v>Contracts (150-7-50-90)</v>
      </c>
      <c r="C27" s="1">
        <f>'Highway Account Detail'!C93</f>
        <v>30490</v>
      </c>
      <c r="D27" s="1">
        <f>'Highway Account Detail'!D93</f>
        <v>30100</v>
      </c>
      <c r="E27" s="1">
        <f>'Highway Account Detail'!E93</f>
        <v>14600</v>
      </c>
      <c r="F27" s="1">
        <f>'Highway Account Detail'!F93</f>
        <v>28500</v>
      </c>
      <c r="G27" s="1">
        <f>'Highway Account Detail'!G93</f>
        <v>22027.5</v>
      </c>
      <c r="H27" s="1">
        <f>'Highway Account Detail'!H93</f>
        <v>28500</v>
      </c>
    </row>
    <row r="28" spans="1:8" ht="18" customHeight="1" x14ac:dyDescent="0.25">
      <c r="A28" s="18">
        <f>ROW('Highway Account Detail'!B101)-1</f>
        <v>100</v>
      </c>
      <c r="B28" s="22" t="str">
        <f>'Highway Account Detail'!B95</f>
        <v>Special Projects and Grants  (150-7-50-93)</v>
      </c>
      <c r="C28" s="1">
        <f>'Highway Account Detail'!C101</f>
        <v>1750</v>
      </c>
      <c r="D28" s="1">
        <f>'Highway Account Detail'!D101</f>
        <v>1750</v>
      </c>
      <c r="E28" s="1">
        <f>'Highway Account Detail'!E101</f>
        <v>6493.14</v>
      </c>
      <c r="F28" s="1">
        <f>'Highway Account Detail'!F101</f>
        <v>1750</v>
      </c>
      <c r="G28" s="1">
        <f>'Highway Account Detail'!G101</f>
        <v>34270.22</v>
      </c>
      <c r="H28" s="1">
        <f>'Highway Account Detail'!H101</f>
        <v>1750</v>
      </c>
    </row>
    <row r="29" spans="1:8" ht="18" customHeight="1" x14ac:dyDescent="0.25">
      <c r="A29" s="18">
        <f>ROW('Highway Account Detail'!B107)-1</f>
        <v>106</v>
      </c>
      <c r="B29" s="22" t="str">
        <f>'Highway Account Detail'!B103</f>
        <v>Highway Reserves (150-7-95-50)</v>
      </c>
      <c r="C29" s="1">
        <f>'Highway Account Detail'!C107</f>
        <v>364000</v>
      </c>
      <c r="D29" s="1">
        <f>'Highway Account Detail'!D107</f>
        <v>354000</v>
      </c>
      <c r="E29" s="1">
        <f>'Highway Account Detail'!E107</f>
        <v>294000</v>
      </c>
      <c r="F29" s="1">
        <f>'Highway Account Detail'!F107</f>
        <v>294000</v>
      </c>
      <c r="G29" s="1">
        <f>'Highway Account Detail'!G107</f>
        <v>377600</v>
      </c>
      <c r="H29" s="1">
        <f>'Highway Account Detail'!H107</f>
        <v>377600</v>
      </c>
    </row>
    <row r="30" spans="1:8" ht="18" customHeight="1" x14ac:dyDescent="0.25">
      <c r="A30" s="18">
        <f>ROW('Highway Account Detail'!B109)-1</f>
        <v>108</v>
      </c>
      <c r="B30" s="36" t="str">
        <f>'Highway Account Detail'!B109</f>
        <v>TOTAL HIGHWAY EXPENDITURES</v>
      </c>
      <c r="C30" s="30">
        <f>'Highway Account Detail'!C109</f>
        <v>1257072.7807575483</v>
      </c>
      <c r="D30" s="12">
        <f>'Highway Account Detail'!D109</f>
        <v>1192991.71</v>
      </c>
      <c r="E30" s="12">
        <f>'Highway Account Detail'!E109</f>
        <v>1067616.4899999998</v>
      </c>
      <c r="F30" s="30">
        <f>'Highway Account Detail'!F109</f>
        <v>1058835</v>
      </c>
      <c r="G30" s="12">
        <f>'Highway Account Detail'!G109</f>
        <v>1102153.6200000001</v>
      </c>
      <c r="H30" s="12">
        <f>'Highway Account Detail'!H109</f>
        <v>1099800</v>
      </c>
    </row>
    <row r="31" spans="1:8" ht="18" customHeight="1" x14ac:dyDescent="0.25">
      <c r="B31" s="25"/>
      <c r="C31" s="3"/>
      <c r="F31" s="3"/>
    </row>
    <row r="32" spans="1:8" ht="30" x14ac:dyDescent="0.25">
      <c r="A32" s="18">
        <f>ROW('General Account Detail'!B111)-1</f>
        <v>110</v>
      </c>
      <c r="B32" s="38" t="str">
        <f>'Highway Account Detail'!B111</f>
        <v>HIGHWAY REVENUES LESS
HIGHWAY EXPENDITURES</v>
      </c>
      <c r="C32" s="35">
        <f>'Highway Account Detail'!C111</f>
        <v>-20050</v>
      </c>
      <c r="D32" s="35">
        <f>'Highway Account Detail'!D111</f>
        <v>-82078.839999999851</v>
      </c>
      <c r="E32" s="35">
        <f>'Highway Account Detail'!E111</f>
        <v>-46019.779999999679</v>
      </c>
      <c r="F32" s="35">
        <f>'Highway Account Detail'!F111</f>
        <v>-66069.779999999795</v>
      </c>
      <c r="G32" s="35">
        <f>'Highway Account Detail'!G111</f>
        <v>31119.619999999879</v>
      </c>
      <c r="H32" s="35">
        <f>'Highway Account Detail'!H111</f>
        <v>-50959.219999999972</v>
      </c>
    </row>
    <row r="33" spans="1:8" ht="18" customHeight="1" x14ac:dyDescent="0.25">
      <c r="B33" s="20"/>
      <c r="C33" s="7"/>
      <c r="D33" s="7"/>
      <c r="E33" s="7"/>
      <c r="F33" s="7"/>
      <c r="G33" s="7"/>
      <c r="H33" s="7"/>
    </row>
    <row r="34" spans="1:8" ht="18" customHeight="1" x14ac:dyDescent="0.25">
      <c r="A34" s="18">
        <f>ROW('General Account Detail'!B113)-1</f>
        <v>112</v>
      </c>
      <c r="B34" s="26" t="str">
        <f>'Highway Account Detail'!B113</f>
        <v xml:space="preserve">BEGINNING HIGHWAY  FUND BALANCE </v>
      </c>
      <c r="C34" s="45">
        <f>'Highway Account Detail'!C113</f>
        <v>20050</v>
      </c>
      <c r="D34" s="45">
        <f>'Highway Account Detail'!D113</f>
        <v>102128.83999999997</v>
      </c>
      <c r="E34" s="52">
        <f>'Highway Account Detail'!E113</f>
        <v>148148.61999999965</v>
      </c>
      <c r="F34" s="45">
        <f>'Highway Account Detail'!F113</f>
        <v>148148.61999999965</v>
      </c>
      <c r="G34" s="6">
        <f>'Highway Account Detail'!G113</f>
        <v>117028.99999999977</v>
      </c>
      <c r="H34" s="45">
        <f>'Highway Account Detail'!H113</f>
        <v>0</v>
      </c>
    </row>
    <row r="35" spans="1:8" ht="18" customHeight="1" x14ac:dyDescent="0.25">
      <c r="A35" s="18">
        <f>ROW('General Account Detail'!B114)-1</f>
        <v>113</v>
      </c>
      <c r="B35" s="19" t="str">
        <f>'Highway Account Detail'!B114</f>
        <v>ENDING HIGHWAY FUND BALANCE*</v>
      </c>
      <c r="C35" s="46">
        <f>'Highway Account Detail'!C114</f>
        <v>0</v>
      </c>
      <c r="D35" s="46">
        <f>'Highway Account Detail'!D114</f>
        <v>20050</v>
      </c>
      <c r="E35" s="69">
        <f>'Highway Account Detail'!E114</f>
        <v>102128.83999999997</v>
      </c>
      <c r="F35" s="46">
        <f>'Highway Account Detail'!F114</f>
        <v>82078.839999999851</v>
      </c>
      <c r="G35" s="7">
        <f>'Highway Account Detail'!G114</f>
        <v>148148.61999999965</v>
      </c>
      <c r="H35" s="46">
        <f>'Highway Account Detail'!H114</f>
        <v>0</v>
      </c>
    </row>
    <row r="36" spans="1:8" ht="18" customHeight="1" x14ac:dyDescent="0.25">
      <c r="A36" s="18">
        <f>ROW('General Account Detail'!B115)-1</f>
        <v>114</v>
      </c>
      <c r="B36" s="43" t="str">
        <f>'Highway Account Detail'!B115</f>
        <v>Highway Fund Balance Change</v>
      </c>
      <c r="C36" s="47">
        <f>'Highway Account Detail'!C115</f>
        <v>-20050</v>
      </c>
      <c r="D36" s="47">
        <f>'Highway Account Detail'!D115</f>
        <v>-82078.839999999967</v>
      </c>
      <c r="E36" s="71">
        <f>'Highway Account Detail'!E115</f>
        <v>-46019.779999999679</v>
      </c>
      <c r="F36" s="47">
        <f>'Highway Account Detail'!F115</f>
        <v>-66069.779999999795</v>
      </c>
      <c r="G36" s="40">
        <f>'Highway Account Detail'!G115</f>
        <v>31119.619999999879</v>
      </c>
      <c r="H36" s="47">
        <f>'Highway Account Detail'!H115</f>
        <v>0</v>
      </c>
    </row>
    <row r="37" spans="1:8" ht="18" customHeight="1" x14ac:dyDescent="0.25">
      <c r="C37" s="1"/>
    </row>
    <row r="38" spans="1:8" ht="30" customHeight="1" x14ac:dyDescent="0.25">
      <c r="A38" s="18">
        <f>ROW('General Account Detail'!B117)-1</f>
        <v>116</v>
      </c>
      <c r="B38" s="210" t="str">
        <f>'Highway Account Detail'!B117</f>
        <v>* $82,079 of the FY 2021 ending Highway Fund Balance was assigned to reduce taxes to be raised in FY 2023. As a result, the unassigned FY 2022 ending Highway Fund Balance was $20,050, which amount is proposed to be used to offset highway expenditures in FY 2024.  See Line 110.</v>
      </c>
      <c r="C38" s="210"/>
      <c r="D38" s="212"/>
      <c r="E38" s="212"/>
      <c r="F38" s="212"/>
      <c r="G38" s="212"/>
      <c r="H38" s="212"/>
    </row>
  </sheetData>
  <mergeCells count="1">
    <mergeCell ref="B38:H38"/>
  </mergeCells>
  <printOptions horizontalCentered="1"/>
  <pageMargins left="0.5" right="0.5" top="1.2" bottom="0.5" header="0.3" footer="0.3"/>
  <pageSetup scale="75" fitToHeight="0" orientation="portrait" r:id="rId1"/>
  <headerFooter>
    <oddHeader>&amp;C&amp;"-,Bold"&amp;13Town of Pomfret&amp;"-,Regular"&amp;12
&amp;11Highway Account Summary&amp;R&amp;11As approved January 18, 2023</oddHeader>
    <oddFooter>&amp;R&amp;11Page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280"/>
  <sheetViews>
    <sheetView zoomScale="75" zoomScaleNormal="75" zoomScaleSheetLayoutView="93" workbookViewId="0">
      <pane xSplit="2" ySplit="6" topLeftCell="C226" activePane="bottomRight" state="frozen"/>
      <selection pane="topRight" activeCell="C1" sqref="C1"/>
      <selection pane="bottomLeft" activeCell="A7" sqref="A7"/>
      <selection pane="bottomRight"/>
    </sheetView>
  </sheetViews>
  <sheetFormatPr defaultRowHeight="15.75" x14ac:dyDescent="0.25"/>
  <cols>
    <col min="1" max="1" width="4.625" style="13" customWidth="1"/>
    <col min="2" max="2" width="37.5" style="2" customWidth="1"/>
    <col min="3" max="4" width="12.5" customWidth="1"/>
    <col min="5" max="5" width="13.875" style="1" customWidth="1"/>
    <col min="6" max="8" width="12.5" style="1" customWidth="1"/>
    <col min="9" max="237" width="11" style="2" customWidth="1"/>
    <col min="238" max="16384" width="9" style="2"/>
  </cols>
  <sheetData>
    <row r="1" spans="1:8" ht="18" customHeight="1" x14ac:dyDescent="0.25">
      <c r="A1" s="92"/>
      <c r="B1" s="93" t="s">
        <v>256</v>
      </c>
      <c r="C1" s="94" t="s">
        <v>257</v>
      </c>
      <c r="D1" s="97" t="s">
        <v>258</v>
      </c>
      <c r="E1" s="96" t="s">
        <v>261</v>
      </c>
      <c r="F1" s="97" t="s">
        <v>262</v>
      </c>
      <c r="G1" s="162" t="s">
        <v>263</v>
      </c>
      <c r="H1" s="98" t="s">
        <v>264</v>
      </c>
    </row>
    <row r="2" spans="1:8" ht="45" x14ac:dyDescent="0.25">
      <c r="A2" s="99">
        <v>1</v>
      </c>
      <c r="B2" s="100"/>
      <c r="C2" s="101" t="s">
        <v>334</v>
      </c>
      <c r="D2" s="101" t="s">
        <v>335</v>
      </c>
      <c r="E2" s="27" t="s">
        <v>336</v>
      </c>
      <c r="F2" s="101" t="s">
        <v>306</v>
      </c>
      <c r="G2" s="27" t="s">
        <v>307</v>
      </c>
      <c r="H2" s="101" t="s">
        <v>294</v>
      </c>
    </row>
    <row r="3" spans="1:8" ht="18" customHeight="1" x14ac:dyDescent="0.25">
      <c r="A3" s="103">
        <f t="shared" ref="A3:A66" si="0">A2+1</f>
        <v>2</v>
      </c>
      <c r="B3" s="104" t="s">
        <v>201</v>
      </c>
      <c r="C3" s="105"/>
      <c r="D3" s="105"/>
      <c r="E3" s="105"/>
      <c r="F3" s="105"/>
      <c r="G3" s="105"/>
      <c r="H3" s="107"/>
    </row>
    <row r="4" spans="1:8" ht="18" customHeight="1" x14ac:dyDescent="0.25">
      <c r="A4" s="103">
        <f t="shared" si="0"/>
        <v>3</v>
      </c>
      <c r="B4" s="108"/>
      <c r="C4" s="105"/>
      <c r="D4" s="163"/>
      <c r="E4" s="105"/>
      <c r="F4" s="105"/>
      <c r="G4" s="105"/>
      <c r="H4" s="107"/>
    </row>
    <row r="5" spans="1:8" ht="18" customHeight="1" x14ac:dyDescent="0.3">
      <c r="A5" s="103">
        <f t="shared" si="0"/>
        <v>4</v>
      </c>
      <c r="B5" s="109" t="s">
        <v>0</v>
      </c>
      <c r="C5" s="164"/>
      <c r="D5" s="165"/>
      <c r="E5" s="105"/>
      <c r="F5" s="105"/>
      <c r="G5" s="105"/>
      <c r="H5" s="89"/>
    </row>
    <row r="6" spans="1:8" ht="18" customHeight="1" x14ac:dyDescent="0.25">
      <c r="A6" s="103">
        <f t="shared" si="0"/>
        <v>5</v>
      </c>
      <c r="B6" s="166" t="s">
        <v>280</v>
      </c>
      <c r="C6" s="90">
        <f>-C10-C21-C26-C31-C46-C52-C59-C65-C69+C265-(D270*0.6)+N("Total Town Expenditures MINUS Total Town Non-Tax Revenues MINUS FY 2022 year-end unassigned fund balance")</f>
        <v>1127488.3293944288</v>
      </c>
      <c r="D6" s="90">
        <v>1067927.1122718663</v>
      </c>
      <c r="E6" s="90">
        <v>4428269.84</v>
      </c>
      <c r="F6" s="90">
        <v>936509.42000000039</v>
      </c>
      <c r="G6" s="90">
        <v>4339355.83</v>
      </c>
      <c r="H6" s="90">
        <f>922493.2+0.41</f>
        <v>922493.61</v>
      </c>
    </row>
    <row r="7" spans="1:8" ht="18" customHeight="1" x14ac:dyDescent="0.25">
      <c r="A7" s="103">
        <f t="shared" si="0"/>
        <v>6</v>
      </c>
      <c r="B7" s="112" t="s">
        <v>1</v>
      </c>
      <c r="C7" s="89">
        <v>0</v>
      </c>
      <c r="D7" s="89">
        <v>0</v>
      </c>
      <c r="E7" s="89">
        <v>-1820001.52</v>
      </c>
      <c r="F7" s="89">
        <v>0</v>
      </c>
      <c r="G7" s="89">
        <v>-1796395.45</v>
      </c>
      <c r="H7" s="89">
        <v>0</v>
      </c>
    </row>
    <row r="8" spans="1:8" ht="18" customHeight="1" x14ac:dyDescent="0.25">
      <c r="A8" s="103">
        <f t="shared" si="0"/>
        <v>7</v>
      </c>
      <c r="B8" s="112" t="s">
        <v>2</v>
      </c>
      <c r="C8" s="89">
        <v>0</v>
      </c>
      <c r="D8" s="89">
        <v>0</v>
      </c>
      <c r="E8" s="89">
        <v>-1710688.18</v>
      </c>
      <c r="F8" s="89">
        <v>0</v>
      </c>
      <c r="G8" s="89">
        <v>-1774109</v>
      </c>
      <c r="H8" s="89">
        <v>0</v>
      </c>
    </row>
    <row r="9" spans="1:8" ht="18" customHeight="1" x14ac:dyDescent="0.25">
      <c r="A9" s="103">
        <f t="shared" si="0"/>
        <v>8</v>
      </c>
      <c r="B9" s="112" t="s">
        <v>3</v>
      </c>
      <c r="C9" s="89">
        <v>0</v>
      </c>
      <c r="D9" s="89">
        <v>0</v>
      </c>
      <c r="E9" s="89">
        <v>-8112.4</v>
      </c>
      <c r="F9" s="89">
        <v>0</v>
      </c>
      <c r="G9" s="89">
        <v>-8126.62</v>
      </c>
      <c r="H9" s="89">
        <v>0</v>
      </c>
    </row>
    <row r="10" spans="1:8" ht="18" customHeight="1" x14ac:dyDescent="0.25">
      <c r="A10" s="103">
        <f t="shared" si="0"/>
        <v>9</v>
      </c>
      <c r="B10" s="167" t="s">
        <v>287</v>
      </c>
      <c r="C10" s="3">
        <f>-'Highway Account Detail'!C6</f>
        <v>-1059359.6707575484</v>
      </c>
      <c r="D10" s="3">
        <f>-'Highway Account Detail'!D6</f>
        <v>-959512.87</v>
      </c>
      <c r="E10" s="89">
        <v>-841365</v>
      </c>
      <c r="F10" s="3">
        <f>-'Highway Account Detail'!F6</f>
        <v>-841365.2200000002</v>
      </c>
      <c r="G10" s="89">
        <v>-856341</v>
      </c>
      <c r="H10" s="3">
        <f>-'Highway Account Detail'!H6</f>
        <v>-856340.78</v>
      </c>
    </row>
    <row r="11" spans="1:8" ht="18" customHeight="1" x14ac:dyDescent="0.25">
      <c r="A11" s="103">
        <f t="shared" si="0"/>
        <v>10</v>
      </c>
      <c r="B11" s="100" t="s">
        <v>4</v>
      </c>
      <c r="C11" s="117">
        <f t="shared" ref="C11:H11" si="1">SUM(C6:C10)</f>
        <v>68128.65863688034</v>
      </c>
      <c r="D11" s="117">
        <f t="shared" si="1"/>
        <v>108414.2422718663</v>
      </c>
      <c r="E11" s="117">
        <f t="shared" si="1"/>
        <v>48102.739999999874</v>
      </c>
      <c r="F11" s="117">
        <f t="shared" si="1"/>
        <v>95144.200000000186</v>
      </c>
      <c r="G11" s="117">
        <f t="shared" si="1"/>
        <v>-95616.240000000107</v>
      </c>
      <c r="H11" s="117">
        <f t="shared" si="1"/>
        <v>66152.829999999958</v>
      </c>
    </row>
    <row r="12" spans="1:8" ht="18" customHeight="1" x14ac:dyDescent="0.25">
      <c r="A12" s="103">
        <f t="shared" si="0"/>
        <v>11</v>
      </c>
      <c r="B12" s="168" t="s">
        <v>282</v>
      </c>
      <c r="C12" s="105"/>
      <c r="D12" s="105"/>
      <c r="E12" s="105"/>
      <c r="F12" s="105"/>
      <c r="G12" s="105"/>
      <c r="H12" s="120"/>
    </row>
    <row r="13" spans="1:8" ht="18" customHeight="1" x14ac:dyDescent="0.25">
      <c r="A13" s="103">
        <f t="shared" si="0"/>
        <v>12</v>
      </c>
      <c r="B13" s="119"/>
      <c r="C13" s="105"/>
      <c r="D13" s="105"/>
      <c r="E13" s="105"/>
      <c r="F13" s="105"/>
      <c r="G13" s="105"/>
      <c r="H13" s="120"/>
    </row>
    <row r="14" spans="1:8" ht="18" customHeight="1" x14ac:dyDescent="0.25">
      <c r="A14" s="103">
        <f t="shared" si="0"/>
        <v>13</v>
      </c>
      <c r="B14" s="109" t="s">
        <v>5</v>
      </c>
      <c r="C14" s="105"/>
      <c r="D14" s="105"/>
      <c r="E14" s="105"/>
      <c r="F14" s="105"/>
      <c r="G14" s="105"/>
      <c r="H14" s="89"/>
    </row>
    <row r="15" spans="1:8" ht="18" customHeight="1" x14ac:dyDescent="0.25">
      <c r="A15" s="103">
        <f t="shared" si="0"/>
        <v>14</v>
      </c>
      <c r="B15" s="121" t="s">
        <v>6</v>
      </c>
      <c r="C15" s="90">
        <v>0</v>
      </c>
      <c r="D15" s="90">
        <v>0</v>
      </c>
      <c r="E15" s="90">
        <v>181068.05</v>
      </c>
      <c r="F15" s="90">
        <v>0</v>
      </c>
      <c r="G15" s="90">
        <v>181467.36</v>
      </c>
      <c r="H15" s="90">
        <v>0</v>
      </c>
    </row>
    <row r="16" spans="1:8" ht="18" customHeight="1" x14ac:dyDescent="0.25">
      <c r="A16" s="103">
        <f t="shared" si="0"/>
        <v>15</v>
      </c>
      <c r="B16" s="129" t="s">
        <v>7</v>
      </c>
      <c r="C16" s="89">
        <v>8000</v>
      </c>
      <c r="D16" s="89">
        <v>7500</v>
      </c>
      <c r="E16" s="89">
        <v>7947</v>
      </c>
      <c r="F16" s="89">
        <v>7480</v>
      </c>
      <c r="G16" s="89">
        <v>7757</v>
      </c>
      <c r="H16" s="89">
        <v>7000</v>
      </c>
    </row>
    <row r="17" spans="1:8" ht="18" customHeight="1" x14ac:dyDescent="0.25">
      <c r="A17" s="103">
        <f t="shared" si="0"/>
        <v>16</v>
      </c>
      <c r="B17" s="112" t="s">
        <v>8</v>
      </c>
      <c r="C17" s="89">
        <v>270000</v>
      </c>
      <c r="D17" s="89">
        <v>263329</v>
      </c>
      <c r="E17" s="89">
        <v>266019</v>
      </c>
      <c r="F17" s="89">
        <v>263329</v>
      </c>
      <c r="G17" s="89">
        <v>263329</v>
      </c>
      <c r="H17" s="89">
        <v>268354</v>
      </c>
    </row>
    <row r="18" spans="1:8" ht="18" customHeight="1" x14ac:dyDescent="0.25">
      <c r="A18" s="103">
        <f t="shared" si="0"/>
        <v>17</v>
      </c>
      <c r="B18" s="116" t="s">
        <v>309</v>
      </c>
      <c r="C18" s="89">
        <v>10000</v>
      </c>
      <c r="D18" s="89">
        <v>0</v>
      </c>
      <c r="E18" s="89">
        <v>16120</v>
      </c>
      <c r="F18" s="89">
        <v>0</v>
      </c>
      <c r="G18" s="89">
        <v>9129</v>
      </c>
      <c r="H18" s="89">
        <v>0</v>
      </c>
    </row>
    <row r="19" spans="1:8" ht="18" customHeight="1" x14ac:dyDescent="0.25">
      <c r="A19" s="103">
        <f t="shared" si="0"/>
        <v>18</v>
      </c>
      <c r="B19" s="112" t="s">
        <v>9</v>
      </c>
      <c r="C19" s="89">
        <v>2604</v>
      </c>
      <c r="D19" s="89">
        <v>2604</v>
      </c>
      <c r="E19" s="89">
        <v>2604</v>
      </c>
      <c r="F19" s="89">
        <v>2600</v>
      </c>
      <c r="G19" s="89">
        <v>2604</v>
      </c>
      <c r="H19" s="89">
        <v>3000</v>
      </c>
    </row>
    <row r="20" spans="1:8" ht="18" customHeight="1" x14ac:dyDescent="0.25">
      <c r="A20" s="103">
        <f t="shared" si="0"/>
        <v>19</v>
      </c>
      <c r="B20" s="112" t="s">
        <v>10</v>
      </c>
      <c r="C20" s="89">
        <v>8000</v>
      </c>
      <c r="D20" s="89">
        <v>7000</v>
      </c>
      <c r="E20" s="89">
        <v>8112.4</v>
      </c>
      <c r="F20" s="89">
        <v>7000</v>
      </c>
      <c r="G20" s="89">
        <v>8126.62</v>
      </c>
      <c r="H20" s="89">
        <v>7000</v>
      </c>
    </row>
    <row r="21" spans="1:8" ht="18" customHeight="1" x14ac:dyDescent="0.25">
      <c r="A21" s="103">
        <f t="shared" si="0"/>
        <v>20</v>
      </c>
      <c r="B21" s="100" t="s">
        <v>11</v>
      </c>
      <c r="C21" s="117">
        <f t="shared" ref="C21:H21" si="2">SUM(C15:C20)</f>
        <v>298604</v>
      </c>
      <c r="D21" s="117">
        <f t="shared" si="2"/>
        <v>280433</v>
      </c>
      <c r="E21" s="117">
        <f t="shared" si="2"/>
        <v>481870.45</v>
      </c>
      <c r="F21" s="117">
        <f t="shared" si="2"/>
        <v>280409</v>
      </c>
      <c r="G21" s="117">
        <f t="shared" si="2"/>
        <v>472412.98</v>
      </c>
      <c r="H21" s="117">
        <f t="shared" si="2"/>
        <v>285354</v>
      </c>
    </row>
    <row r="22" spans="1:8" ht="18" customHeight="1" x14ac:dyDescent="0.25">
      <c r="A22" s="103">
        <f t="shared" si="0"/>
        <v>21</v>
      </c>
      <c r="B22" s="131"/>
      <c r="C22" s="105"/>
      <c r="D22" s="105"/>
      <c r="E22" s="105"/>
      <c r="F22" s="105"/>
      <c r="G22" s="105"/>
      <c r="H22" s="89"/>
    </row>
    <row r="23" spans="1:8" ht="18" customHeight="1" x14ac:dyDescent="0.25">
      <c r="A23" s="103">
        <f t="shared" si="0"/>
        <v>22</v>
      </c>
      <c r="B23" s="109" t="s">
        <v>213</v>
      </c>
      <c r="C23" s="105"/>
      <c r="D23" s="105"/>
      <c r="E23" s="105"/>
      <c r="F23" s="105"/>
      <c r="G23" s="105"/>
      <c r="H23" s="89"/>
    </row>
    <row r="24" spans="1:8" ht="18" customHeight="1" x14ac:dyDescent="0.25">
      <c r="A24" s="103">
        <f t="shared" si="0"/>
        <v>23</v>
      </c>
      <c r="B24" s="169" t="s">
        <v>301</v>
      </c>
      <c r="C24" s="90">
        <v>10000</v>
      </c>
      <c r="D24" s="90">
        <v>7500</v>
      </c>
      <c r="E24" s="90">
        <v>63342.03</v>
      </c>
      <c r="F24" s="90">
        <v>7500</v>
      </c>
      <c r="G24" s="90">
        <v>25549.21</v>
      </c>
      <c r="H24" s="90">
        <v>5000</v>
      </c>
    </row>
    <row r="25" spans="1:8" ht="18" customHeight="1" x14ac:dyDescent="0.25">
      <c r="A25" s="103">
        <f t="shared" si="0"/>
        <v>24</v>
      </c>
      <c r="B25" s="170" t="s">
        <v>302</v>
      </c>
      <c r="C25" s="89">
        <v>10000</v>
      </c>
      <c r="D25" s="89">
        <v>7500</v>
      </c>
      <c r="E25" s="89">
        <v>20986.91</v>
      </c>
      <c r="F25" s="89">
        <v>7500</v>
      </c>
      <c r="G25" s="89">
        <v>14891.83</v>
      </c>
      <c r="H25" s="89">
        <v>5000</v>
      </c>
    </row>
    <row r="26" spans="1:8" ht="18" customHeight="1" x14ac:dyDescent="0.25">
      <c r="A26" s="103">
        <f t="shared" si="0"/>
        <v>25</v>
      </c>
      <c r="B26" s="100" t="s">
        <v>214</v>
      </c>
      <c r="C26" s="117">
        <f t="shared" ref="C26:H26" si="3">SUM(C24:C25)</f>
        <v>20000</v>
      </c>
      <c r="D26" s="117">
        <f t="shared" si="3"/>
        <v>15000</v>
      </c>
      <c r="E26" s="117">
        <f t="shared" si="3"/>
        <v>84328.94</v>
      </c>
      <c r="F26" s="117">
        <f t="shared" si="3"/>
        <v>15000</v>
      </c>
      <c r="G26" s="117">
        <f t="shared" si="3"/>
        <v>40441.040000000001</v>
      </c>
      <c r="H26" s="117">
        <f t="shared" si="3"/>
        <v>10000</v>
      </c>
    </row>
    <row r="27" spans="1:8" ht="18" customHeight="1" x14ac:dyDescent="0.25">
      <c r="A27" s="103">
        <f t="shared" si="0"/>
        <v>26</v>
      </c>
      <c r="B27" s="112"/>
      <c r="C27" s="105"/>
      <c r="D27" s="105"/>
      <c r="E27" s="105"/>
      <c r="F27" s="105"/>
      <c r="G27" s="105"/>
      <c r="H27" s="89"/>
    </row>
    <row r="28" spans="1:8" ht="18" customHeight="1" x14ac:dyDescent="0.25">
      <c r="A28" s="103">
        <f t="shared" si="0"/>
        <v>27</v>
      </c>
      <c r="B28" s="109" t="s">
        <v>12</v>
      </c>
      <c r="C28" s="105"/>
      <c r="D28" s="105"/>
      <c r="E28" s="105"/>
      <c r="F28" s="105"/>
      <c r="G28" s="105"/>
      <c r="H28" s="89"/>
    </row>
    <row r="29" spans="1:8" ht="18" customHeight="1" x14ac:dyDescent="0.25">
      <c r="A29" s="103">
        <f t="shared" si="0"/>
        <v>28</v>
      </c>
      <c r="B29" s="171" t="s">
        <v>310</v>
      </c>
      <c r="C29" s="90">
        <v>1000</v>
      </c>
      <c r="D29" s="90">
        <v>2000</v>
      </c>
      <c r="E29" s="90">
        <v>12.97</v>
      </c>
      <c r="F29" s="90">
        <v>2000</v>
      </c>
      <c r="G29" s="90">
        <v>1007.56</v>
      </c>
      <c r="H29" s="90">
        <v>2000</v>
      </c>
    </row>
    <row r="30" spans="1:8" ht="18" customHeight="1" x14ac:dyDescent="0.25">
      <c r="A30" s="103">
        <f t="shared" si="0"/>
        <v>29</v>
      </c>
      <c r="B30" s="116" t="s">
        <v>311</v>
      </c>
      <c r="C30" s="89">
        <v>0</v>
      </c>
      <c r="D30" s="89">
        <v>0</v>
      </c>
      <c r="E30" s="89">
        <v>0</v>
      </c>
      <c r="F30" s="89">
        <v>0</v>
      </c>
      <c r="G30" s="89">
        <v>-227.38</v>
      </c>
      <c r="H30" s="89">
        <v>0</v>
      </c>
    </row>
    <row r="31" spans="1:8" ht="18" customHeight="1" x14ac:dyDescent="0.25">
      <c r="A31" s="103">
        <f t="shared" si="0"/>
        <v>30</v>
      </c>
      <c r="B31" s="100" t="s">
        <v>272</v>
      </c>
      <c r="C31" s="117">
        <f t="shared" ref="C31:H31" si="4">SUM(C29:C30)</f>
        <v>1000</v>
      </c>
      <c r="D31" s="117">
        <f t="shared" si="4"/>
        <v>2000</v>
      </c>
      <c r="E31" s="117">
        <f t="shared" si="4"/>
        <v>12.97</v>
      </c>
      <c r="F31" s="117">
        <f t="shared" si="4"/>
        <v>2000</v>
      </c>
      <c r="G31" s="117">
        <f t="shared" si="4"/>
        <v>780.18</v>
      </c>
      <c r="H31" s="117">
        <f t="shared" si="4"/>
        <v>2000</v>
      </c>
    </row>
    <row r="32" spans="1:8" ht="18" customHeight="1" x14ac:dyDescent="0.25">
      <c r="A32" s="103">
        <f t="shared" si="0"/>
        <v>31</v>
      </c>
      <c r="B32" s="119"/>
      <c r="C32" s="105"/>
      <c r="D32" s="105"/>
      <c r="E32" s="105"/>
      <c r="F32" s="105"/>
      <c r="G32" s="105"/>
      <c r="H32" s="120"/>
    </row>
    <row r="33" spans="1:8" ht="18" customHeight="1" x14ac:dyDescent="0.25">
      <c r="A33" s="103">
        <f t="shared" si="0"/>
        <v>32</v>
      </c>
      <c r="B33" s="109" t="s">
        <v>200</v>
      </c>
      <c r="C33" s="105"/>
      <c r="D33" s="105"/>
      <c r="E33" s="105"/>
      <c r="F33" s="105"/>
      <c r="G33" s="105"/>
      <c r="H33" s="89"/>
    </row>
    <row r="34" spans="1:8" ht="18" customHeight="1" x14ac:dyDescent="0.25">
      <c r="A34" s="103">
        <f t="shared" si="0"/>
        <v>33</v>
      </c>
      <c r="B34" s="121" t="s">
        <v>13</v>
      </c>
      <c r="C34" s="90">
        <v>18000</v>
      </c>
      <c r="D34" s="90">
        <v>18000</v>
      </c>
      <c r="E34" s="90">
        <v>18595</v>
      </c>
      <c r="F34" s="90">
        <v>13000</v>
      </c>
      <c r="G34" s="90">
        <v>22510</v>
      </c>
      <c r="H34" s="90">
        <v>13000</v>
      </c>
    </row>
    <row r="35" spans="1:8" ht="18" customHeight="1" x14ac:dyDescent="0.25">
      <c r="A35" s="103">
        <f t="shared" si="0"/>
        <v>34</v>
      </c>
      <c r="B35" s="172" t="s">
        <v>293</v>
      </c>
      <c r="C35" s="89">
        <v>-4800</v>
      </c>
      <c r="D35" s="89">
        <v>-4800</v>
      </c>
      <c r="E35" s="89">
        <v>-4900</v>
      </c>
      <c r="F35" s="89">
        <v>-4000</v>
      </c>
      <c r="G35" s="89">
        <v>-5976</v>
      </c>
      <c r="H35" s="89">
        <v>-4000</v>
      </c>
    </row>
    <row r="36" spans="1:8" ht="18" customHeight="1" x14ac:dyDescent="0.25">
      <c r="A36" s="103">
        <f t="shared" si="0"/>
        <v>35</v>
      </c>
      <c r="B36" s="112" t="s">
        <v>14</v>
      </c>
      <c r="C36" s="89">
        <v>1500</v>
      </c>
      <c r="D36" s="89">
        <v>1500</v>
      </c>
      <c r="E36" s="89">
        <v>1623</v>
      </c>
      <c r="F36" s="89">
        <v>1500</v>
      </c>
      <c r="G36" s="89">
        <v>2862.5</v>
      </c>
      <c r="H36" s="89">
        <v>1500</v>
      </c>
    </row>
    <row r="37" spans="1:8" ht="18" customHeight="1" x14ac:dyDescent="0.25">
      <c r="A37" s="103">
        <f t="shared" si="0"/>
        <v>36</v>
      </c>
      <c r="B37" s="112" t="s">
        <v>15</v>
      </c>
      <c r="C37" s="89">
        <v>14000</v>
      </c>
      <c r="D37" s="89">
        <v>13800</v>
      </c>
      <c r="E37" s="89">
        <v>12996</v>
      </c>
      <c r="F37" s="89">
        <v>13800</v>
      </c>
      <c r="G37" s="89">
        <v>11256</v>
      </c>
      <c r="H37" s="89">
        <v>13800</v>
      </c>
    </row>
    <row r="38" spans="1:8" ht="18" customHeight="1" x14ac:dyDescent="0.25">
      <c r="A38" s="103">
        <f t="shared" si="0"/>
        <v>37</v>
      </c>
      <c r="B38" s="112" t="s">
        <v>16</v>
      </c>
      <c r="C38" s="89">
        <v>-14000</v>
      </c>
      <c r="D38" s="89">
        <v>-13800</v>
      </c>
      <c r="E38" s="89">
        <v>-14008</v>
      </c>
      <c r="F38" s="89">
        <v>-13800</v>
      </c>
      <c r="G38" s="89">
        <v>-11679</v>
      </c>
      <c r="H38" s="89">
        <v>-13800</v>
      </c>
    </row>
    <row r="39" spans="1:8" ht="18" customHeight="1" x14ac:dyDescent="0.25">
      <c r="A39" s="103">
        <f t="shared" si="0"/>
        <v>38</v>
      </c>
      <c r="B39" s="112" t="s">
        <v>17</v>
      </c>
      <c r="C39" s="89">
        <v>300</v>
      </c>
      <c r="D39" s="89">
        <v>300</v>
      </c>
      <c r="E39" s="89">
        <v>660</v>
      </c>
      <c r="F39" s="89">
        <v>300</v>
      </c>
      <c r="G39" s="89">
        <v>600</v>
      </c>
      <c r="H39" s="89">
        <v>300</v>
      </c>
    </row>
    <row r="40" spans="1:8" ht="18" customHeight="1" x14ac:dyDescent="0.25">
      <c r="A40" s="103">
        <f t="shared" si="0"/>
        <v>39</v>
      </c>
      <c r="B40" s="112" t="s">
        <v>18</v>
      </c>
      <c r="C40" s="89">
        <v>-250</v>
      </c>
      <c r="D40" s="89">
        <v>-250</v>
      </c>
      <c r="E40" s="89">
        <v>-350</v>
      </c>
      <c r="F40" s="89">
        <v>-250</v>
      </c>
      <c r="G40" s="89">
        <v>-550</v>
      </c>
      <c r="H40" s="89">
        <v>-250</v>
      </c>
    </row>
    <row r="41" spans="1:8" ht="18" customHeight="1" x14ac:dyDescent="0.25">
      <c r="A41" s="103">
        <f t="shared" si="0"/>
        <v>40</v>
      </c>
      <c r="B41" s="112" t="s">
        <v>19</v>
      </c>
      <c r="C41" s="89">
        <v>2500</v>
      </c>
      <c r="D41" s="89">
        <v>2000</v>
      </c>
      <c r="E41" s="89">
        <v>2450</v>
      </c>
      <c r="F41" s="89">
        <v>2000</v>
      </c>
      <c r="G41" s="89">
        <v>2226</v>
      </c>
      <c r="H41" s="89">
        <v>2000</v>
      </c>
    </row>
    <row r="42" spans="1:8" ht="18" customHeight="1" x14ac:dyDescent="0.25">
      <c r="A42" s="103">
        <f t="shared" si="0"/>
        <v>41</v>
      </c>
      <c r="B42" s="112" t="s">
        <v>20</v>
      </c>
      <c r="C42" s="89">
        <v>-1250</v>
      </c>
      <c r="D42" s="89">
        <v>-1400</v>
      </c>
      <c r="E42" s="89">
        <v>-1255.2</v>
      </c>
      <c r="F42" s="89">
        <v>-1200</v>
      </c>
      <c r="G42" s="89">
        <v>-1353.62</v>
      </c>
      <c r="H42" s="89">
        <v>-1200</v>
      </c>
    </row>
    <row r="43" spans="1:8" ht="18" customHeight="1" x14ac:dyDescent="0.25">
      <c r="A43" s="103">
        <f t="shared" si="0"/>
        <v>42</v>
      </c>
      <c r="B43" s="112" t="s">
        <v>21</v>
      </c>
      <c r="C43" s="89">
        <v>185</v>
      </c>
      <c r="D43" s="89">
        <v>185</v>
      </c>
      <c r="E43" s="89">
        <v>185</v>
      </c>
      <c r="F43" s="89">
        <v>185</v>
      </c>
      <c r="G43" s="89">
        <v>185</v>
      </c>
      <c r="H43" s="89">
        <v>185</v>
      </c>
    </row>
    <row r="44" spans="1:8" ht="18" customHeight="1" x14ac:dyDescent="0.25">
      <c r="A44" s="103">
        <f t="shared" si="0"/>
        <v>43</v>
      </c>
      <c r="B44" s="112" t="s">
        <v>22</v>
      </c>
      <c r="C44" s="89">
        <v>200</v>
      </c>
      <c r="D44" s="89">
        <v>200</v>
      </c>
      <c r="E44" s="89">
        <v>225</v>
      </c>
      <c r="F44" s="89">
        <v>300</v>
      </c>
      <c r="G44" s="89">
        <v>0</v>
      </c>
      <c r="H44" s="89">
        <v>500</v>
      </c>
    </row>
    <row r="45" spans="1:8" ht="18" customHeight="1" x14ac:dyDescent="0.25">
      <c r="A45" s="103">
        <f t="shared" si="0"/>
        <v>44</v>
      </c>
      <c r="B45" s="112" t="s">
        <v>23</v>
      </c>
      <c r="C45" s="89">
        <v>100</v>
      </c>
      <c r="D45" s="89">
        <v>100</v>
      </c>
      <c r="E45" s="89">
        <v>90</v>
      </c>
      <c r="F45" s="89">
        <v>100</v>
      </c>
      <c r="G45" s="89">
        <v>105</v>
      </c>
      <c r="H45" s="89">
        <v>100</v>
      </c>
    </row>
    <row r="46" spans="1:8" ht="18" customHeight="1" x14ac:dyDescent="0.25">
      <c r="A46" s="103">
        <f t="shared" si="0"/>
        <v>45</v>
      </c>
      <c r="B46" s="100" t="s">
        <v>24</v>
      </c>
      <c r="C46" s="117">
        <f t="shared" ref="C46:H46" si="5">SUM(C34:C45)</f>
        <v>16485</v>
      </c>
      <c r="D46" s="117">
        <f t="shared" si="5"/>
        <v>15835</v>
      </c>
      <c r="E46" s="117">
        <f t="shared" si="5"/>
        <v>16310.8</v>
      </c>
      <c r="F46" s="117">
        <f t="shared" si="5"/>
        <v>11935</v>
      </c>
      <c r="G46" s="117">
        <f t="shared" si="5"/>
        <v>20185.88</v>
      </c>
      <c r="H46" s="117">
        <f t="shared" si="5"/>
        <v>12135</v>
      </c>
    </row>
    <row r="47" spans="1:8" ht="18" customHeight="1" x14ac:dyDescent="0.25">
      <c r="A47" s="103">
        <f t="shared" si="0"/>
        <v>46</v>
      </c>
      <c r="B47" s="119"/>
      <c r="C47" s="105"/>
      <c r="D47" s="105"/>
      <c r="E47" s="105"/>
      <c r="F47" s="105"/>
      <c r="G47" s="105"/>
      <c r="H47" s="120"/>
    </row>
    <row r="48" spans="1:8" ht="18" customHeight="1" x14ac:dyDescent="0.25">
      <c r="A48" s="103">
        <f t="shared" si="0"/>
        <v>47</v>
      </c>
      <c r="B48" s="109" t="s">
        <v>25</v>
      </c>
      <c r="C48" s="105"/>
      <c r="D48" s="105"/>
      <c r="E48" s="105"/>
      <c r="F48" s="105"/>
      <c r="G48" s="105"/>
      <c r="H48" s="89"/>
    </row>
    <row r="49" spans="1:8" ht="18" customHeight="1" x14ac:dyDescent="0.25">
      <c r="A49" s="103">
        <f t="shared" si="0"/>
        <v>48</v>
      </c>
      <c r="B49" s="121" t="s">
        <v>26</v>
      </c>
      <c r="C49" s="90">
        <v>200</v>
      </c>
      <c r="D49" s="90">
        <v>100</v>
      </c>
      <c r="E49" s="90">
        <v>200</v>
      </c>
      <c r="F49" s="90">
        <v>100</v>
      </c>
      <c r="G49" s="90">
        <v>300</v>
      </c>
      <c r="H49" s="90">
        <v>100</v>
      </c>
    </row>
    <row r="50" spans="1:8" ht="18" customHeight="1" x14ac:dyDescent="0.25">
      <c r="A50" s="103">
        <f t="shared" si="0"/>
        <v>49</v>
      </c>
      <c r="B50" s="112" t="s">
        <v>27</v>
      </c>
      <c r="C50" s="89">
        <v>300</v>
      </c>
      <c r="D50" s="89">
        <v>275</v>
      </c>
      <c r="E50" s="89">
        <v>315</v>
      </c>
      <c r="F50" s="89">
        <v>275</v>
      </c>
      <c r="G50" s="89">
        <v>300</v>
      </c>
      <c r="H50" s="89">
        <v>250</v>
      </c>
    </row>
    <row r="51" spans="1:8" ht="18" customHeight="1" x14ac:dyDescent="0.25">
      <c r="A51" s="103">
        <f t="shared" si="0"/>
        <v>50</v>
      </c>
      <c r="B51" s="114" t="s">
        <v>341</v>
      </c>
      <c r="C51" s="89">
        <v>8000</v>
      </c>
      <c r="D51" s="89">
        <v>5750</v>
      </c>
      <c r="E51" s="89">
        <v>8500.16</v>
      </c>
      <c r="F51" s="89">
        <v>5750</v>
      </c>
      <c r="G51" s="89">
        <v>4426</v>
      </c>
      <c r="H51" s="89">
        <v>1500</v>
      </c>
    </row>
    <row r="52" spans="1:8" ht="18" customHeight="1" x14ac:dyDescent="0.25">
      <c r="A52" s="103">
        <f t="shared" si="0"/>
        <v>51</v>
      </c>
      <c r="B52" s="100" t="s">
        <v>28</v>
      </c>
      <c r="C52" s="117">
        <f t="shared" ref="C52:H52" si="6">SUM(C49:C51)</f>
        <v>8500</v>
      </c>
      <c r="D52" s="117">
        <f t="shared" si="6"/>
        <v>6125</v>
      </c>
      <c r="E52" s="117">
        <f t="shared" si="6"/>
        <v>9015.16</v>
      </c>
      <c r="F52" s="117">
        <f t="shared" si="6"/>
        <v>6125</v>
      </c>
      <c r="G52" s="117">
        <f t="shared" si="6"/>
        <v>5026</v>
      </c>
      <c r="H52" s="117">
        <f t="shared" si="6"/>
        <v>1850</v>
      </c>
    </row>
    <row r="53" spans="1:8" ht="18" customHeight="1" x14ac:dyDescent="0.25">
      <c r="A53" s="103">
        <f t="shared" si="0"/>
        <v>52</v>
      </c>
      <c r="B53" s="112"/>
      <c r="C53" s="105"/>
      <c r="D53" s="105"/>
      <c r="E53" s="105"/>
      <c r="F53" s="105"/>
      <c r="G53" s="105"/>
      <c r="H53" s="89"/>
    </row>
    <row r="54" spans="1:8" ht="18" customHeight="1" x14ac:dyDescent="0.25">
      <c r="A54" s="103">
        <f t="shared" si="0"/>
        <v>53</v>
      </c>
      <c r="B54" s="109" t="s">
        <v>215</v>
      </c>
      <c r="C54" s="105"/>
      <c r="D54" s="105"/>
      <c r="E54" s="105"/>
      <c r="F54" s="105"/>
      <c r="G54" s="105"/>
      <c r="H54" s="89"/>
    </row>
    <row r="55" spans="1:8" ht="18" customHeight="1" x14ac:dyDescent="0.25">
      <c r="A55" s="103">
        <f t="shared" si="0"/>
        <v>54</v>
      </c>
      <c r="B55" s="173" t="s">
        <v>277</v>
      </c>
      <c r="C55" s="174">
        <v>21000</v>
      </c>
      <c r="D55" s="174">
        <v>20285</v>
      </c>
      <c r="E55" s="174">
        <v>20956.8</v>
      </c>
      <c r="F55" s="174">
        <v>20285</v>
      </c>
      <c r="G55" s="174">
        <v>20285.82</v>
      </c>
      <c r="H55" s="174">
        <v>10091.58</v>
      </c>
    </row>
    <row r="56" spans="1:8" ht="18" customHeight="1" x14ac:dyDescent="0.25">
      <c r="A56" s="103">
        <f t="shared" si="0"/>
        <v>55</v>
      </c>
      <c r="B56" s="175" t="s">
        <v>218</v>
      </c>
      <c r="C56" s="89">
        <v>0</v>
      </c>
      <c r="D56" s="89">
        <v>0</v>
      </c>
      <c r="E56" s="89">
        <v>1.59</v>
      </c>
      <c r="F56" s="89">
        <v>0</v>
      </c>
      <c r="G56" s="89">
        <v>6.19</v>
      </c>
      <c r="H56" s="89">
        <v>0</v>
      </c>
    </row>
    <row r="57" spans="1:8" ht="18" customHeight="1" x14ac:dyDescent="0.25">
      <c r="A57" s="103">
        <f t="shared" si="0"/>
        <v>56</v>
      </c>
      <c r="B57" s="112" t="s">
        <v>29</v>
      </c>
      <c r="C57" s="89">
        <v>0</v>
      </c>
      <c r="D57" s="89">
        <v>0</v>
      </c>
      <c r="E57" s="89">
        <v>12</v>
      </c>
      <c r="F57" s="89">
        <v>0</v>
      </c>
      <c r="G57" s="89">
        <v>16</v>
      </c>
      <c r="H57" s="89">
        <v>0</v>
      </c>
    </row>
    <row r="58" spans="1:8" ht="18" customHeight="1" x14ac:dyDescent="0.25">
      <c r="A58" s="103">
        <f t="shared" si="0"/>
        <v>57</v>
      </c>
      <c r="B58" s="112" t="s">
        <v>30</v>
      </c>
      <c r="C58" s="89">
        <v>500</v>
      </c>
      <c r="D58" s="89">
        <v>0</v>
      </c>
      <c r="E58" s="89">
        <v>2695.5</v>
      </c>
      <c r="F58" s="89">
        <v>0</v>
      </c>
      <c r="G58" s="89">
        <v>89.5</v>
      </c>
      <c r="H58" s="89">
        <v>500</v>
      </c>
    </row>
    <row r="59" spans="1:8" ht="18" customHeight="1" x14ac:dyDescent="0.25">
      <c r="A59" s="103">
        <f t="shared" si="0"/>
        <v>58</v>
      </c>
      <c r="B59" s="100" t="s">
        <v>31</v>
      </c>
      <c r="C59" s="117">
        <f t="shared" ref="C59:H59" si="7">SUM(C55:C58)</f>
        <v>21500</v>
      </c>
      <c r="D59" s="117">
        <f t="shared" si="7"/>
        <v>20285</v>
      </c>
      <c r="E59" s="117">
        <f t="shared" si="7"/>
        <v>23665.89</v>
      </c>
      <c r="F59" s="117">
        <f t="shared" si="7"/>
        <v>20285</v>
      </c>
      <c r="G59" s="117">
        <f t="shared" si="7"/>
        <v>20397.509999999998</v>
      </c>
      <c r="H59" s="117">
        <f t="shared" si="7"/>
        <v>10591.58</v>
      </c>
    </row>
    <row r="60" spans="1:8" ht="18" customHeight="1" x14ac:dyDescent="0.25">
      <c r="A60" s="103">
        <f t="shared" si="0"/>
        <v>59</v>
      </c>
      <c r="B60" s="131"/>
      <c r="C60" s="105"/>
      <c r="D60" s="105"/>
      <c r="E60" s="105"/>
      <c r="F60" s="105"/>
      <c r="G60" s="105"/>
      <c r="H60" s="89"/>
    </row>
    <row r="61" spans="1:8" ht="18" customHeight="1" x14ac:dyDescent="0.25">
      <c r="A61" s="103">
        <f t="shared" si="0"/>
        <v>60</v>
      </c>
      <c r="B61" s="161" t="s">
        <v>216</v>
      </c>
      <c r="C61" s="140"/>
      <c r="D61" s="140"/>
      <c r="E61" s="140"/>
      <c r="F61" s="140"/>
      <c r="G61" s="140"/>
      <c r="H61" s="142"/>
    </row>
    <row r="62" spans="1:8" ht="18" customHeight="1" x14ac:dyDescent="0.25">
      <c r="A62" s="103">
        <f t="shared" si="0"/>
        <v>61</v>
      </c>
      <c r="B62" s="112" t="s">
        <v>32</v>
      </c>
      <c r="C62" s="89">
        <v>607</v>
      </c>
      <c r="D62" s="89">
        <v>607</v>
      </c>
      <c r="E62" s="89">
        <v>605</v>
      </c>
      <c r="F62" s="89">
        <v>607</v>
      </c>
      <c r="G62" s="89">
        <v>606</v>
      </c>
      <c r="H62" s="89">
        <v>607</v>
      </c>
    </row>
    <row r="63" spans="1:8" ht="18" customHeight="1" x14ac:dyDescent="0.25">
      <c r="A63" s="103">
        <f t="shared" si="0"/>
        <v>62</v>
      </c>
      <c r="B63" s="116" t="s">
        <v>312</v>
      </c>
      <c r="C63" s="89">
        <v>0</v>
      </c>
      <c r="D63" s="89">
        <v>0</v>
      </c>
      <c r="E63" s="89">
        <v>0</v>
      </c>
      <c r="F63" s="89">
        <v>0</v>
      </c>
      <c r="G63" s="89">
        <v>5000</v>
      </c>
      <c r="H63" s="89">
        <v>0</v>
      </c>
    </row>
    <row r="64" spans="1:8" ht="18" customHeight="1" x14ac:dyDescent="0.25">
      <c r="A64" s="103">
        <f t="shared" si="0"/>
        <v>63</v>
      </c>
      <c r="B64" s="116" t="s">
        <v>313</v>
      </c>
      <c r="C64" s="89">
        <v>0</v>
      </c>
      <c r="D64" s="89">
        <v>0</v>
      </c>
      <c r="E64" s="89">
        <v>0</v>
      </c>
      <c r="F64" s="89">
        <v>0</v>
      </c>
      <c r="G64" s="89">
        <v>882.43</v>
      </c>
      <c r="H64" s="89">
        <v>0</v>
      </c>
    </row>
    <row r="65" spans="1:8" ht="18" customHeight="1" x14ac:dyDescent="0.25">
      <c r="A65" s="103">
        <f t="shared" si="0"/>
        <v>64</v>
      </c>
      <c r="B65" s="100" t="s">
        <v>217</v>
      </c>
      <c r="C65" s="117">
        <f t="shared" ref="C65:H65" si="8">SUM(C62:C64)</f>
        <v>607</v>
      </c>
      <c r="D65" s="117">
        <f t="shared" si="8"/>
        <v>607</v>
      </c>
      <c r="E65" s="117">
        <f t="shared" si="8"/>
        <v>605</v>
      </c>
      <c r="F65" s="117">
        <f t="shared" si="8"/>
        <v>607</v>
      </c>
      <c r="G65" s="117">
        <f t="shared" si="8"/>
        <v>6488.43</v>
      </c>
      <c r="H65" s="117">
        <f t="shared" si="8"/>
        <v>607</v>
      </c>
    </row>
    <row r="66" spans="1:8" ht="18" customHeight="1" x14ac:dyDescent="0.25">
      <c r="A66" s="103">
        <f t="shared" si="0"/>
        <v>65</v>
      </c>
      <c r="B66" s="199"/>
      <c r="C66" s="205"/>
      <c r="D66" s="105"/>
      <c r="E66" s="105"/>
      <c r="F66" s="105"/>
      <c r="G66" s="105"/>
      <c r="H66" s="89"/>
    </row>
    <row r="67" spans="1:8" ht="18" customHeight="1" x14ac:dyDescent="0.25">
      <c r="A67" s="103">
        <f t="shared" ref="A67:A130" si="9">A66+1</f>
        <v>66</v>
      </c>
      <c r="B67" s="200" t="s">
        <v>33</v>
      </c>
      <c r="C67" s="205"/>
      <c r="D67" s="105"/>
      <c r="E67" s="105"/>
      <c r="F67" s="105"/>
      <c r="G67" s="105"/>
      <c r="H67" s="89"/>
    </row>
    <row r="68" spans="1:8" ht="18" customHeight="1" x14ac:dyDescent="0.25">
      <c r="A68" s="103">
        <f t="shared" si="9"/>
        <v>67</v>
      </c>
      <c r="B68" s="201" t="s">
        <v>34</v>
      </c>
      <c r="C68" s="206">
        <v>0</v>
      </c>
      <c r="D68" s="90">
        <v>0</v>
      </c>
      <c r="E68" s="90">
        <v>102.91</v>
      </c>
      <c r="F68" s="90">
        <v>0</v>
      </c>
      <c r="G68" s="90">
        <v>1219</v>
      </c>
      <c r="H68" s="90">
        <v>0</v>
      </c>
    </row>
    <row r="69" spans="1:8" ht="18" customHeight="1" x14ac:dyDescent="0.25">
      <c r="A69" s="103">
        <f t="shared" si="9"/>
        <v>68</v>
      </c>
      <c r="B69" s="202" t="s">
        <v>35</v>
      </c>
      <c r="C69" s="207">
        <f t="shared" ref="C69:D69" si="10">SUM(C68:C68)</f>
        <v>0</v>
      </c>
      <c r="D69" s="117">
        <f t="shared" si="10"/>
        <v>0</v>
      </c>
      <c r="E69" s="117">
        <f>SUM(E68:E68)</f>
        <v>102.91</v>
      </c>
      <c r="F69" s="117">
        <f>SUM(F68:F68)</f>
        <v>0</v>
      </c>
      <c r="G69" s="117">
        <f>SUM(G68:G68)</f>
        <v>1219</v>
      </c>
      <c r="H69" s="117">
        <f>SUM(H68:H68)</f>
        <v>0</v>
      </c>
    </row>
    <row r="70" spans="1:8" ht="18" customHeight="1" x14ac:dyDescent="0.25">
      <c r="A70" s="103">
        <f t="shared" si="9"/>
        <v>69</v>
      </c>
      <c r="B70" s="198"/>
      <c r="C70" s="208"/>
      <c r="D70" s="140"/>
      <c r="E70" s="140"/>
      <c r="F70" s="194"/>
      <c r="G70" s="140"/>
      <c r="H70" s="194"/>
    </row>
    <row r="71" spans="1:8" ht="18" customHeight="1" x14ac:dyDescent="0.25">
      <c r="A71" s="103">
        <f t="shared" si="9"/>
        <v>70</v>
      </c>
      <c r="B71" s="202" t="s">
        <v>36</v>
      </c>
      <c r="C71" s="207">
        <f t="shared" ref="C71:H71" si="11">C11+C21+C26+C31+C46+C52+C59+C65+C69</f>
        <v>434824.65863688034</v>
      </c>
      <c r="D71" s="117">
        <f t="shared" si="11"/>
        <v>448699.2422718663</v>
      </c>
      <c r="E71" s="117">
        <f t="shared" si="11"/>
        <v>664014.86</v>
      </c>
      <c r="F71" s="117">
        <f t="shared" si="11"/>
        <v>431505.20000000019</v>
      </c>
      <c r="G71" s="117">
        <f t="shared" si="11"/>
        <v>471334.77999999985</v>
      </c>
      <c r="H71" s="117">
        <f t="shared" si="11"/>
        <v>388690.41</v>
      </c>
    </row>
    <row r="72" spans="1:8" ht="18" customHeight="1" x14ac:dyDescent="0.25">
      <c r="A72" s="103">
        <f t="shared" si="9"/>
        <v>71</v>
      </c>
      <c r="B72" s="203"/>
      <c r="C72" s="205"/>
      <c r="D72" s="105"/>
      <c r="E72" s="105"/>
      <c r="F72" s="105"/>
      <c r="G72" s="105"/>
      <c r="H72" s="89"/>
    </row>
    <row r="73" spans="1:8" ht="18" customHeight="1" x14ac:dyDescent="0.25">
      <c r="A73" s="103">
        <f t="shared" si="9"/>
        <v>72</v>
      </c>
      <c r="B73" s="204" t="s">
        <v>37</v>
      </c>
      <c r="C73" s="205"/>
      <c r="D73" s="105"/>
      <c r="E73" s="105"/>
      <c r="F73" s="105"/>
      <c r="G73" s="105"/>
      <c r="H73" s="89"/>
    </row>
    <row r="74" spans="1:8" ht="18" customHeight="1" x14ac:dyDescent="0.25">
      <c r="A74" s="103">
        <f t="shared" si="9"/>
        <v>73</v>
      </c>
      <c r="B74" s="203"/>
      <c r="C74" s="205"/>
      <c r="D74" s="105"/>
      <c r="E74" s="105"/>
      <c r="F74" s="105"/>
      <c r="G74" s="105"/>
      <c r="H74" s="89"/>
    </row>
    <row r="75" spans="1:8" ht="18" customHeight="1" x14ac:dyDescent="0.25">
      <c r="A75" s="103">
        <f t="shared" si="9"/>
        <v>74</v>
      </c>
      <c r="B75" s="200" t="s">
        <v>38</v>
      </c>
      <c r="C75" s="208"/>
      <c r="D75" s="105"/>
      <c r="E75" s="105"/>
      <c r="F75" s="105"/>
      <c r="G75" s="105"/>
      <c r="H75" s="89"/>
    </row>
    <row r="76" spans="1:8" ht="18" customHeight="1" x14ac:dyDescent="0.25">
      <c r="A76" s="103">
        <f t="shared" si="9"/>
        <v>75</v>
      </c>
      <c r="B76" s="121" t="s">
        <v>39</v>
      </c>
      <c r="C76" s="90">
        <f>D76*1.061</f>
        <v>29708</v>
      </c>
      <c r="D76" s="90">
        <v>28000</v>
      </c>
      <c r="E76" s="90">
        <v>25000.04</v>
      </c>
      <c r="F76" s="90">
        <v>25000</v>
      </c>
      <c r="G76" s="90">
        <v>25961.58</v>
      </c>
      <c r="H76" s="90">
        <v>25000</v>
      </c>
    </row>
    <row r="77" spans="1:8" ht="18" customHeight="1" x14ac:dyDescent="0.25">
      <c r="A77" s="103">
        <f t="shared" si="9"/>
        <v>76</v>
      </c>
      <c r="B77" s="112" t="s">
        <v>40</v>
      </c>
      <c r="C77" s="89">
        <v>1000</v>
      </c>
      <c r="D77" s="89">
        <v>1500</v>
      </c>
      <c r="E77" s="89">
        <v>1500</v>
      </c>
      <c r="F77" s="89">
        <v>1500</v>
      </c>
      <c r="G77" s="89">
        <v>2113.6999999999998</v>
      </c>
      <c r="H77" s="89">
        <v>3500</v>
      </c>
    </row>
    <row r="78" spans="1:8" ht="18" customHeight="1" x14ac:dyDescent="0.25">
      <c r="A78" s="103">
        <f t="shared" si="9"/>
        <v>77</v>
      </c>
      <c r="B78" s="112" t="s">
        <v>41</v>
      </c>
      <c r="C78" s="89">
        <v>9978</v>
      </c>
      <c r="D78" s="89">
        <v>9300</v>
      </c>
      <c r="E78" s="89">
        <v>9225.1200000000008</v>
      </c>
      <c r="F78" s="89">
        <v>9560</v>
      </c>
      <c r="G78" s="89">
        <v>9444.24</v>
      </c>
      <c r="H78" s="89">
        <v>9330</v>
      </c>
    </row>
    <row r="79" spans="1:8" ht="18" customHeight="1" x14ac:dyDescent="0.25">
      <c r="A79" s="103">
        <f t="shared" si="9"/>
        <v>78</v>
      </c>
      <c r="B79" s="112" t="s">
        <v>42</v>
      </c>
      <c r="C79" s="89">
        <v>250</v>
      </c>
      <c r="D79" s="89">
        <v>500</v>
      </c>
      <c r="E79" s="89">
        <v>131.94999999999999</v>
      </c>
      <c r="F79" s="89">
        <v>200</v>
      </c>
      <c r="G79" s="89">
        <v>151.21</v>
      </c>
      <c r="H79" s="89">
        <v>300</v>
      </c>
    </row>
    <row r="80" spans="1:8" ht="18" customHeight="1" x14ac:dyDescent="0.25">
      <c r="A80" s="103">
        <f t="shared" si="9"/>
        <v>79</v>
      </c>
      <c r="B80" s="112" t="s">
        <v>43</v>
      </c>
      <c r="C80" s="89">
        <v>0</v>
      </c>
      <c r="D80" s="89">
        <v>0</v>
      </c>
      <c r="E80" s="89">
        <v>5</v>
      </c>
      <c r="F80" s="89">
        <v>500</v>
      </c>
      <c r="G80" s="89">
        <v>5</v>
      </c>
      <c r="H80" s="89">
        <v>1200</v>
      </c>
    </row>
    <row r="81" spans="1:8" ht="18" customHeight="1" x14ac:dyDescent="0.25">
      <c r="A81" s="103">
        <f t="shared" si="9"/>
        <v>80</v>
      </c>
      <c r="B81" s="112" t="s">
        <v>238</v>
      </c>
      <c r="C81" s="89">
        <v>500</v>
      </c>
      <c r="D81" s="89">
        <v>850</v>
      </c>
      <c r="E81" s="89">
        <v>130.69999999999999</v>
      </c>
      <c r="F81" s="89">
        <v>850</v>
      </c>
      <c r="G81" s="89">
        <v>700.63</v>
      </c>
      <c r="H81" s="89">
        <v>850</v>
      </c>
    </row>
    <row r="82" spans="1:8" ht="18" customHeight="1" x14ac:dyDescent="0.25">
      <c r="A82" s="103">
        <f t="shared" si="9"/>
        <v>81</v>
      </c>
      <c r="B82" s="100" t="s">
        <v>44</v>
      </c>
      <c r="C82" s="117">
        <f t="shared" ref="C82:H82" si="12">SUM(C76:C81)</f>
        <v>41436</v>
      </c>
      <c r="D82" s="117">
        <f t="shared" si="12"/>
        <v>40150</v>
      </c>
      <c r="E82" s="117">
        <f t="shared" si="12"/>
        <v>35992.81</v>
      </c>
      <c r="F82" s="117">
        <f t="shared" si="12"/>
        <v>37610</v>
      </c>
      <c r="G82" s="117">
        <f t="shared" si="12"/>
        <v>38376.36</v>
      </c>
      <c r="H82" s="117">
        <f t="shared" si="12"/>
        <v>40180</v>
      </c>
    </row>
    <row r="83" spans="1:8" ht="18" customHeight="1" x14ac:dyDescent="0.25">
      <c r="A83" s="103">
        <f t="shared" si="9"/>
        <v>82</v>
      </c>
      <c r="B83" s="143"/>
      <c r="C83" s="105"/>
      <c r="D83" s="105"/>
      <c r="E83" s="105"/>
      <c r="F83" s="105"/>
      <c r="G83" s="105"/>
      <c r="H83" s="89"/>
    </row>
    <row r="84" spans="1:8" ht="18" customHeight="1" x14ac:dyDescent="0.25">
      <c r="A84" s="103">
        <f t="shared" si="9"/>
        <v>83</v>
      </c>
      <c r="B84" s="136" t="s">
        <v>315</v>
      </c>
      <c r="C84" s="105"/>
      <c r="D84" s="105"/>
      <c r="E84" s="105"/>
      <c r="F84" s="105"/>
      <c r="G84" s="105"/>
      <c r="H84" s="89"/>
    </row>
    <row r="85" spans="1:8" ht="18" customHeight="1" x14ac:dyDescent="0.25">
      <c r="A85" s="103">
        <f t="shared" si="9"/>
        <v>84</v>
      </c>
      <c r="B85" s="176" t="s">
        <v>331</v>
      </c>
      <c r="C85" s="90">
        <f>D85*1.061</f>
        <v>29708</v>
      </c>
      <c r="D85" s="90">
        <v>28000</v>
      </c>
      <c r="E85" s="90">
        <v>25000.04</v>
      </c>
      <c r="F85" s="90">
        <v>3000</v>
      </c>
      <c r="G85" s="90">
        <v>3000</v>
      </c>
      <c r="H85" s="90">
        <v>3000</v>
      </c>
    </row>
    <row r="86" spans="1:8" ht="18" customHeight="1" x14ac:dyDescent="0.25">
      <c r="A86" s="103">
        <f t="shared" si="9"/>
        <v>85</v>
      </c>
      <c r="B86" s="112" t="s">
        <v>45</v>
      </c>
      <c r="C86" s="89">
        <v>0</v>
      </c>
      <c r="D86" s="89">
        <v>0</v>
      </c>
      <c r="E86" s="89">
        <v>0</v>
      </c>
      <c r="F86" s="89">
        <v>3000</v>
      </c>
      <c r="G86" s="89">
        <v>3000</v>
      </c>
      <c r="H86" s="89">
        <v>3000</v>
      </c>
    </row>
    <row r="87" spans="1:8" ht="18" customHeight="1" x14ac:dyDescent="0.25">
      <c r="A87" s="103">
        <f t="shared" si="9"/>
        <v>86</v>
      </c>
      <c r="B87" s="112" t="s">
        <v>46</v>
      </c>
      <c r="C87" s="89">
        <v>0</v>
      </c>
      <c r="D87" s="89">
        <v>0</v>
      </c>
      <c r="E87" s="89">
        <v>0</v>
      </c>
      <c r="F87" s="89">
        <v>19000</v>
      </c>
      <c r="G87" s="89">
        <f>25961.58-G85-G86</f>
        <v>19961.580000000002</v>
      </c>
      <c r="H87" s="89">
        <v>19000</v>
      </c>
    </row>
    <row r="88" spans="1:8" ht="18" customHeight="1" x14ac:dyDescent="0.25">
      <c r="A88" s="103">
        <f t="shared" si="9"/>
        <v>87</v>
      </c>
      <c r="B88" s="112" t="s">
        <v>47</v>
      </c>
      <c r="C88" s="89">
        <v>5500</v>
      </c>
      <c r="D88" s="89">
        <v>6500</v>
      </c>
      <c r="E88" s="89">
        <v>4194.0200000000004</v>
      </c>
      <c r="F88" s="89">
        <v>6500</v>
      </c>
      <c r="G88" s="89">
        <v>4271</v>
      </c>
      <c r="H88" s="89">
        <v>7500</v>
      </c>
    </row>
    <row r="89" spans="1:8" ht="18" customHeight="1" x14ac:dyDescent="0.25">
      <c r="A89" s="103">
        <f t="shared" si="9"/>
        <v>88</v>
      </c>
      <c r="B89" s="112" t="s">
        <v>48</v>
      </c>
      <c r="C89" s="89">
        <v>9978</v>
      </c>
      <c r="D89" s="89">
        <v>9300</v>
      </c>
      <c r="E89" s="89">
        <v>9557.2800000000007</v>
      </c>
      <c r="F89" s="89">
        <v>9560</v>
      </c>
      <c r="G89" s="89">
        <v>10240.68</v>
      </c>
      <c r="H89" s="89">
        <v>9330</v>
      </c>
    </row>
    <row r="90" spans="1:8" ht="18" customHeight="1" x14ac:dyDescent="0.25">
      <c r="A90" s="103">
        <f t="shared" si="9"/>
        <v>89</v>
      </c>
      <c r="B90" s="112" t="s">
        <v>49</v>
      </c>
      <c r="C90" s="89">
        <v>900</v>
      </c>
      <c r="D90" s="89">
        <v>800</v>
      </c>
      <c r="E90" s="89">
        <v>579.5</v>
      </c>
      <c r="F90" s="89">
        <v>1000</v>
      </c>
      <c r="G90" s="89">
        <v>1095.3</v>
      </c>
      <c r="H90" s="89">
        <v>800</v>
      </c>
    </row>
    <row r="91" spans="1:8" ht="18" customHeight="1" x14ac:dyDescent="0.25">
      <c r="A91" s="103">
        <f t="shared" si="9"/>
        <v>90</v>
      </c>
      <c r="B91" s="100" t="s">
        <v>158</v>
      </c>
      <c r="C91" s="117">
        <f t="shared" ref="C91:H91" si="13">SUM(C85:C90)</f>
        <v>46086</v>
      </c>
      <c r="D91" s="117">
        <f t="shared" si="13"/>
        <v>44600</v>
      </c>
      <c r="E91" s="117">
        <f t="shared" si="13"/>
        <v>39330.840000000004</v>
      </c>
      <c r="F91" s="117">
        <f t="shared" si="13"/>
        <v>42060</v>
      </c>
      <c r="G91" s="117">
        <f t="shared" si="13"/>
        <v>41568.560000000005</v>
      </c>
      <c r="H91" s="117">
        <f t="shared" si="13"/>
        <v>42630</v>
      </c>
    </row>
    <row r="92" spans="1:8" ht="18" customHeight="1" x14ac:dyDescent="0.25">
      <c r="A92" s="103">
        <f t="shared" si="9"/>
        <v>91</v>
      </c>
      <c r="B92" s="168" t="s">
        <v>340</v>
      </c>
      <c r="C92" s="120"/>
      <c r="D92" s="120"/>
      <c r="E92" s="120"/>
      <c r="F92" s="120"/>
      <c r="G92" s="120"/>
      <c r="H92" s="120"/>
    </row>
    <row r="93" spans="1:8" ht="18" customHeight="1" x14ac:dyDescent="0.25">
      <c r="A93" s="103">
        <f t="shared" si="9"/>
        <v>92</v>
      </c>
      <c r="B93" s="143"/>
      <c r="C93" s="105"/>
      <c r="D93" s="105"/>
      <c r="E93" s="105"/>
      <c r="F93" s="105"/>
      <c r="G93" s="105"/>
      <c r="H93" s="89"/>
    </row>
    <row r="94" spans="1:8" ht="18" customHeight="1" x14ac:dyDescent="0.25">
      <c r="A94" s="103">
        <f t="shared" si="9"/>
        <v>93</v>
      </c>
      <c r="B94" s="109" t="s">
        <v>51</v>
      </c>
      <c r="C94" s="105"/>
      <c r="D94" s="105"/>
      <c r="E94" s="105"/>
      <c r="F94" s="105"/>
      <c r="G94" s="105"/>
      <c r="H94" s="89"/>
    </row>
    <row r="95" spans="1:8" ht="18" customHeight="1" x14ac:dyDescent="0.25">
      <c r="A95" s="103">
        <f t="shared" si="9"/>
        <v>94</v>
      </c>
      <c r="B95" s="121" t="s">
        <v>52</v>
      </c>
      <c r="C95" s="90">
        <v>15000</v>
      </c>
      <c r="D95" s="90">
        <v>15000</v>
      </c>
      <c r="E95" s="90">
        <v>13560.62</v>
      </c>
      <c r="F95" s="90">
        <v>15000</v>
      </c>
      <c r="G95" s="90">
        <v>11513.76</v>
      </c>
      <c r="H95" s="90">
        <v>15000</v>
      </c>
    </row>
    <row r="96" spans="1:8" ht="18" customHeight="1" x14ac:dyDescent="0.25">
      <c r="A96" s="103">
        <f t="shared" si="9"/>
        <v>95</v>
      </c>
      <c r="B96" s="112" t="s">
        <v>239</v>
      </c>
      <c r="C96" s="89">
        <v>300</v>
      </c>
      <c r="D96" s="89">
        <v>300</v>
      </c>
      <c r="E96" s="89">
        <v>50</v>
      </c>
      <c r="F96" s="89">
        <v>600</v>
      </c>
      <c r="G96" s="89">
        <v>0</v>
      </c>
      <c r="H96" s="89">
        <v>600</v>
      </c>
    </row>
    <row r="97" spans="1:8" ht="18" customHeight="1" x14ac:dyDescent="0.25">
      <c r="A97" s="103">
        <f t="shared" si="9"/>
        <v>96</v>
      </c>
      <c r="B97" s="112" t="s">
        <v>53</v>
      </c>
      <c r="C97" s="89">
        <v>150</v>
      </c>
      <c r="D97" s="89">
        <v>150</v>
      </c>
      <c r="E97" s="89">
        <v>0</v>
      </c>
      <c r="F97" s="89">
        <v>150</v>
      </c>
      <c r="G97" s="89">
        <v>0</v>
      </c>
      <c r="H97" s="89">
        <v>150</v>
      </c>
    </row>
    <row r="98" spans="1:8" ht="18" customHeight="1" x14ac:dyDescent="0.25">
      <c r="A98" s="103">
        <f t="shared" si="9"/>
        <v>97</v>
      </c>
      <c r="B98" s="112" t="s">
        <v>54</v>
      </c>
      <c r="C98" s="89">
        <v>150</v>
      </c>
      <c r="D98" s="89">
        <v>150</v>
      </c>
      <c r="E98" s="89">
        <v>198.01</v>
      </c>
      <c r="F98" s="89">
        <v>150</v>
      </c>
      <c r="G98" s="89">
        <v>4.8</v>
      </c>
      <c r="H98" s="89">
        <v>150</v>
      </c>
    </row>
    <row r="99" spans="1:8" ht="18" customHeight="1" x14ac:dyDescent="0.25">
      <c r="A99" s="103">
        <f t="shared" si="9"/>
        <v>98</v>
      </c>
      <c r="B99" s="112" t="s">
        <v>55</v>
      </c>
      <c r="C99" s="89">
        <v>2500</v>
      </c>
      <c r="D99" s="89">
        <v>2500</v>
      </c>
      <c r="E99" s="89">
        <v>2420.83</v>
      </c>
      <c r="F99" s="89">
        <v>2250</v>
      </c>
      <c r="G99" s="89">
        <v>4087.7</v>
      </c>
      <c r="H99" s="89">
        <v>2250</v>
      </c>
    </row>
    <row r="100" spans="1:8" ht="18" customHeight="1" x14ac:dyDescent="0.25">
      <c r="A100" s="103">
        <f t="shared" si="9"/>
        <v>99</v>
      </c>
      <c r="B100" s="112" t="s">
        <v>56</v>
      </c>
      <c r="C100" s="89">
        <v>2500</v>
      </c>
      <c r="D100" s="89">
        <v>2500</v>
      </c>
      <c r="E100" s="89">
        <v>1705</v>
      </c>
      <c r="F100" s="89">
        <v>2500</v>
      </c>
      <c r="G100" s="89">
        <v>135</v>
      </c>
      <c r="H100" s="89">
        <v>2500</v>
      </c>
    </row>
    <row r="101" spans="1:8" ht="18" customHeight="1" x14ac:dyDescent="0.25">
      <c r="A101" s="103">
        <f t="shared" si="9"/>
        <v>100</v>
      </c>
      <c r="B101" s="100" t="s">
        <v>57</v>
      </c>
      <c r="C101" s="117">
        <f t="shared" ref="C101:H101" si="14">SUM(C95:C100)</f>
        <v>20600</v>
      </c>
      <c r="D101" s="117">
        <f t="shared" si="14"/>
        <v>20600</v>
      </c>
      <c r="E101" s="117">
        <f t="shared" si="14"/>
        <v>17934.46</v>
      </c>
      <c r="F101" s="117">
        <f t="shared" si="14"/>
        <v>20650</v>
      </c>
      <c r="G101" s="117">
        <f t="shared" si="14"/>
        <v>15741.259999999998</v>
      </c>
      <c r="H101" s="117">
        <f t="shared" si="14"/>
        <v>20650</v>
      </c>
    </row>
    <row r="102" spans="1:8" ht="18" customHeight="1" x14ac:dyDescent="0.25">
      <c r="A102" s="103">
        <f t="shared" si="9"/>
        <v>101</v>
      </c>
      <c r="B102" s="112"/>
      <c r="C102" s="105"/>
      <c r="D102" s="105"/>
      <c r="E102" s="105"/>
      <c r="F102" s="105"/>
      <c r="G102" s="105"/>
      <c r="H102" s="89"/>
    </row>
    <row r="103" spans="1:8" ht="18" customHeight="1" x14ac:dyDescent="0.25">
      <c r="A103" s="103">
        <f t="shared" si="9"/>
        <v>102</v>
      </c>
      <c r="B103" s="109" t="s">
        <v>58</v>
      </c>
      <c r="C103" s="105"/>
      <c r="D103" s="105"/>
      <c r="E103" s="105"/>
      <c r="F103" s="105"/>
      <c r="G103" s="105"/>
      <c r="H103" s="89"/>
    </row>
    <row r="104" spans="1:8" ht="18" customHeight="1" x14ac:dyDescent="0.25">
      <c r="A104" s="103">
        <f t="shared" si="9"/>
        <v>103</v>
      </c>
      <c r="B104" s="121" t="s">
        <v>59</v>
      </c>
      <c r="C104" s="90">
        <v>5000</v>
      </c>
      <c r="D104" s="90">
        <v>5000</v>
      </c>
      <c r="E104" s="90">
        <v>5000</v>
      </c>
      <c r="F104" s="90">
        <v>5000</v>
      </c>
      <c r="G104" s="90">
        <v>5000</v>
      </c>
      <c r="H104" s="90">
        <v>5000</v>
      </c>
    </row>
    <row r="105" spans="1:8" ht="18" customHeight="1" x14ac:dyDescent="0.25">
      <c r="A105" s="103">
        <f t="shared" si="9"/>
        <v>104</v>
      </c>
      <c r="B105" s="112" t="s">
        <v>60</v>
      </c>
      <c r="C105" s="89">
        <v>500</v>
      </c>
      <c r="D105" s="89">
        <v>500</v>
      </c>
      <c r="E105" s="89">
        <v>0</v>
      </c>
      <c r="F105" s="89">
        <v>500</v>
      </c>
      <c r="G105" s="89">
        <v>0</v>
      </c>
      <c r="H105" s="89">
        <v>500</v>
      </c>
    </row>
    <row r="106" spans="1:8" ht="18" customHeight="1" x14ac:dyDescent="0.25">
      <c r="A106" s="103">
        <f t="shared" si="9"/>
        <v>105</v>
      </c>
      <c r="B106" s="112" t="s">
        <v>61</v>
      </c>
      <c r="C106" s="89">
        <v>5000</v>
      </c>
      <c r="D106" s="89">
        <v>7000</v>
      </c>
      <c r="E106" s="89">
        <v>4231.7700000000004</v>
      </c>
      <c r="F106" s="89">
        <v>7000</v>
      </c>
      <c r="G106" s="89">
        <v>4291.6899999999996</v>
      </c>
      <c r="H106" s="89">
        <v>10000</v>
      </c>
    </row>
    <row r="107" spans="1:8" ht="18" customHeight="1" x14ac:dyDescent="0.25">
      <c r="A107" s="103">
        <f t="shared" si="9"/>
        <v>106</v>
      </c>
      <c r="B107" s="112" t="s">
        <v>62</v>
      </c>
      <c r="C107" s="89">
        <v>10500</v>
      </c>
      <c r="D107" s="89">
        <v>9000</v>
      </c>
      <c r="E107" s="89">
        <v>8021.38</v>
      </c>
      <c r="F107" s="89">
        <v>9000</v>
      </c>
      <c r="G107" s="89">
        <v>6403.56</v>
      </c>
      <c r="H107" s="89">
        <v>9000</v>
      </c>
    </row>
    <row r="108" spans="1:8" ht="18" customHeight="1" x14ac:dyDescent="0.25">
      <c r="A108" s="103">
        <f t="shared" si="9"/>
        <v>107</v>
      </c>
      <c r="B108" s="112" t="s">
        <v>240</v>
      </c>
      <c r="C108" s="192">
        <v>500</v>
      </c>
      <c r="D108" s="89">
        <v>500</v>
      </c>
      <c r="E108" s="89">
        <v>0</v>
      </c>
      <c r="F108" s="89">
        <v>500</v>
      </c>
      <c r="G108" s="89">
        <v>0</v>
      </c>
      <c r="H108" s="89">
        <v>500</v>
      </c>
    </row>
    <row r="109" spans="1:8" ht="18" customHeight="1" x14ac:dyDescent="0.25">
      <c r="A109" s="103">
        <f t="shared" si="9"/>
        <v>108</v>
      </c>
      <c r="B109" s="112" t="s">
        <v>63</v>
      </c>
      <c r="C109" s="193">
        <f>1175*1.061</f>
        <v>1246.675</v>
      </c>
      <c r="D109" s="89">
        <v>3500</v>
      </c>
      <c r="E109" s="89">
        <v>722.63</v>
      </c>
      <c r="F109" s="89">
        <v>3500</v>
      </c>
      <c r="G109" s="89">
        <v>2500</v>
      </c>
      <c r="H109" s="89">
        <v>2500</v>
      </c>
    </row>
    <row r="110" spans="1:8" ht="18" customHeight="1" x14ac:dyDescent="0.25">
      <c r="A110" s="103">
        <f t="shared" si="9"/>
        <v>109</v>
      </c>
      <c r="B110" s="112" t="s">
        <v>64</v>
      </c>
      <c r="C110" s="193">
        <f>5875*1.061</f>
        <v>6233.375</v>
      </c>
      <c r="D110" s="89">
        <v>8000</v>
      </c>
      <c r="E110" s="89">
        <v>4629.5</v>
      </c>
      <c r="F110" s="89">
        <v>8000</v>
      </c>
      <c r="G110" s="89">
        <v>6145.5</v>
      </c>
      <c r="H110" s="89">
        <v>5000</v>
      </c>
    </row>
    <row r="111" spans="1:8" ht="18" customHeight="1" x14ac:dyDescent="0.25">
      <c r="A111" s="103">
        <f t="shared" si="9"/>
        <v>110</v>
      </c>
      <c r="B111" s="112" t="s">
        <v>65</v>
      </c>
      <c r="C111" s="192">
        <v>600</v>
      </c>
      <c r="D111" s="89">
        <v>600</v>
      </c>
      <c r="E111" s="89">
        <v>0</v>
      </c>
      <c r="F111" s="89">
        <v>600</v>
      </c>
      <c r="G111" s="89">
        <v>0</v>
      </c>
      <c r="H111" s="89">
        <v>600</v>
      </c>
    </row>
    <row r="112" spans="1:8" ht="18" customHeight="1" x14ac:dyDescent="0.25">
      <c r="A112" s="103">
        <f t="shared" si="9"/>
        <v>111</v>
      </c>
      <c r="B112" s="112" t="s">
        <v>241</v>
      </c>
      <c r="C112" s="192">
        <v>10000</v>
      </c>
      <c r="D112" s="89">
        <v>10000</v>
      </c>
      <c r="E112" s="89">
        <v>9980.01</v>
      </c>
      <c r="F112" s="89">
        <v>9300</v>
      </c>
      <c r="G112" s="89">
        <v>9985.5400000000009</v>
      </c>
      <c r="H112" s="89">
        <v>9300</v>
      </c>
    </row>
    <row r="113" spans="1:8" ht="18" customHeight="1" x14ac:dyDescent="0.25">
      <c r="A113" s="103">
        <f t="shared" si="9"/>
        <v>112</v>
      </c>
      <c r="B113" s="112" t="s">
        <v>66</v>
      </c>
      <c r="C113" s="89">
        <v>3500</v>
      </c>
      <c r="D113" s="89">
        <v>3500</v>
      </c>
      <c r="E113" s="89">
        <v>2075.61</v>
      </c>
      <c r="F113" s="89">
        <v>3500</v>
      </c>
      <c r="G113" s="89">
        <v>3097.96</v>
      </c>
      <c r="H113" s="89">
        <v>2200</v>
      </c>
    </row>
    <row r="114" spans="1:8" ht="18" customHeight="1" x14ac:dyDescent="0.25">
      <c r="A114" s="103">
        <f t="shared" si="9"/>
        <v>113</v>
      </c>
      <c r="B114" s="112" t="s">
        <v>67</v>
      </c>
      <c r="C114" s="89">
        <v>500</v>
      </c>
      <c r="D114" s="89">
        <v>500</v>
      </c>
      <c r="E114" s="89">
        <v>287.39999999999998</v>
      </c>
      <c r="F114" s="89">
        <v>500</v>
      </c>
      <c r="G114" s="89">
        <v>524</v>
      </c>
      <c r="H114" s="89">
        <v>400</v>
      </c>
    </row>
    <row r="115" spans="1:8" ht="18" customHeight="1" x14ac:dyDescent="0.25">
      <c r="A115" s="103">
        <f t="shared" si="9"/>
        <v>114</v>
      </c>
      <c r="B115" s="112" t="s">
        <v>68</v>
      </c>
      <c r="C115" s="89">
        <v>660</v>
      </c>
      <c r="D115" s="89">
        <v>660</v>
      </c>
      <c r="E115" s="89">
        <v>0</v>
      </c>
      <c r="F115" s="89">
        <v>660</v>
      </c>
      <c r="G115" s="89">
        <v>0</v>
      </c>
      <c r="H115" s="89">
        <v>660</v>
      </c>
    </row>
    <row r="116" spans="1:8" ht="18" customHeight="1" x14ac:dyDescent="0.25">
      <c r="A116" s="103">
        <f t="shared" si="9"/>
        <v>115</v>
      </c>
      <c r="B116" s="112" t="s">
        <v>242</v>
      </c>
      <c r="C116" s="89">
        <v>0</v>
      </c>
      <c r="D116" s="89">
        <v>1000</v>
      </c>
      <c r="E116" s="89">
        <v>0</v>
      </c>
      <c r="F116" s="89">
        <v>1000</v>
      </c>
      <c r="G116" s="89">
        <v>8.0500000000000007</v>
      </c>
      <c r="H116" s="89">
        <v>1000</v>
      </c>
    </row>
    <row r="117" spans="1:8" ht="18" customHeight="1" x14ac:dyDescent="0.25">
      <c r="A117" s="103">
        <f t="shared" si="9"/>
        <v>116</v>
      </c>
      <c r="B117" s="178" t="s">
        <v>374</v>
      </c>
      <c r="C117" s="89">
        <v>800</v>
      </c>
      <c r="D117" s="89">
        <v>0</v>
      </c>
      <c r="E117" s="89">
        <v>0</v>
      </c>
      <c r="F117" s="89">
        <v>0</v>
      </c>
      <c r="G117" s="89">
        <v>0</v>
      </c>
      <c r="H117" s="89">
        <v>0</v>
      </c>
    </row>
    <row r="118" spans="1:8" ht="18" customHeight="1" x14ac:dyDescent="0.25">
      <c r="A118" s="103">
        <f t="shared" si="9"/>
        <v>117</v>
      </c>
      <c r="B118" s="112" t="s">
        <v>69</v>
      </c>
      <c r="C118" s="89">
        <v>0</v>
      </c>
      <c r="D118" s="89">
        <v>0</v>
      </c>
      <c r="E118" s="89">
        <v>0</v>
      </c>
      <c r="F118" s="89">
        <v>2000</v>
      </c>
      <c r="G118" s="89">
        <v>0</v>
      </c>
      <c r="H118" s="89">
        <v>2000</v>
      </c>
    </row>
    <row r="119" spans="1:8" ht="18" customHeight="1" x14ac:dyDescent="0.25">
      <c r="A119" s="103">
        <f t="shared" si="9"/>
        <v>118</v>
      </c>
      <c r="B119" s="100" t="s">
        <v>70</v>
      </c>
      <c r="C119" s="117">
        <f t="shared" ref="C119:H119" si="15">SUM(C104:C118)</f>
        <v>45040.05</v>
      </c>
      <c r="D119" s="117">
        <f t="shared" si="15"/>
        <v>49760</v>
      </c>
      <c r="E119" s="117">
        <f t="shared" si="15"/>
        <v>34948.300000000003</v>
      </c>
      <c r="F119" s="117">
        <f t="shared" si="15"/>
        <v>51060</v>
      </c>
      <c r="G119" s="117">
        <f t="shared" si="15"/>
        <v>37956.300000000003</v>
      </c>
      <c r="H119" s="117">
        <f t="shared" si="15"/>
        <v>48660</v>
      </c>
    </row>
    <row r="120" spans="1:8" ht="18" customHeight="1" x14ac:dyDescent="0.25">
      <c r="A120" s="103">
        <f t="shared" si="9"/>
        <v>119</v>
      </c>
      <c r="B120" s="112"/>
      <c r="C120" s="105"/>
      <c r="D120" s="105"/>
      <c r="E120" s="105"/>
      <c r="F120" s="105"/>
      <c r="G120" s="105"/>
      <c r="H120" s="89"/>
    </row>
    <row r="121" spans="1:8" ht="18" customHeight="1" x14ac:dyDescent="0.25">
      <c r="A121" s="103">
        <f t="shared" si="9"/>
        <v>120</v>
      </c>
      <c r="B121" s="109" t="s">
        <v>71</v>
      </c>
      <c r="C121" s="105"/>
      <c r="D121" s="105"/>
      <c r="E121" s="105"/>
      <c r="F121" s="105"/>
      <c r="G121" s="105"/>
      <c r="H121" s="89"/>
    </row>
    <row r="122" spans="1:8" ht="18" customHeight="1" x14ac:dyDescent="0.25">
      <c r="A122" s="103">
        <f t="shared" si="9"/>
        <v>121</v>
      </c>
      <c r="B122" s="121" t="s">
        <v>72</v>
      </c>
      <c r="C122" s="90">
        <v>3500</v>
      </c>
      <c r="D122" s="90">
        <v>3000</v>
      </c>
      <c r="E122" s="90">
        <v>3375</v>
      </c>
      <c r="F122" s="90">
        <v>2000</v>
      </c>
      <c r="G122" s="90">
        <v>1970</v>
      </c>
      <c r="H122" s="90">
        <v>2000</v>
      </c>
    </row>
    <row r="123" spans="1:8" ht="18" customHeight="1" x14ac:dyDescent="0.25">
      <c r="A123" s="103">
        <f t="shared" si="9"/>
        <v>122</v>
      </c>
      <c r="B123" s="112" t="s">
        <v>73</v>
      </c>
      <c r="C123" s="89">
        <v>3000</v>
      </c>
      <c r="D123" s="89">
        <v>3000</v>
      </c>
      <c r="E123" s="89">
        <v>7084.11</v>
      </c>
      <c r="F123" s="89">
        <v>3000</v>
      </c>
      <c r="G123" s="89">
        <v>973.31</v>
      </c>
      <c r="H123" s="89">
        <v>3000</v>
      </c>
    </row>
    <row r="124" spans="1:8" ht="18" customHeight="1" x14ac:dyDescent="0.25">
      <c r="A124" s="103">
        <f t="shared" si="9"/>
        <v>123</v>
      </c>
      <c r="B124" s="112" t="s">
        <v>74</v>
      </c>
      <c r="C124" s="89">
        <v>2700</v>
      </c>
      <c r="D124" s="89">
        <v>2700</v>
      </c>
      <c r="E124" s="89">
        <v>2237.94</v>
      </c>
      <c r="F124" s="89">
        <v>2700</v>
      </c>
      <c r="G124" s="89">
        <v>1850.84</v>
      </c>
      <c r="H124" s="89">
        <v>2700</v>
      </c>
    </row>
    <row r="125" spans="1:8" ht="18" customHeight="1" x14ac:dyDescent="0.25">
      <c r="A125" s="103">
        <f t="shared" si="9"/>
        <v>124</v>
      </c>
      <c r="B125" s="112" t="s">
        <v>75</v>
      </c>
      <c r="C125" s="89">
        <v>1300</v>
      </c>
      <c r="D125" s="89">
        <v>1300</v>
      </c>
      <c r="E125" s="89">
        <v>1174.6199999999999</v>
      </c>
      <c r="F125" s="89">
        <v>1300</v>
      </c>
      <c r="G125" s="89">
        <v>1160.7</v>
      </c>
      <c r="H125" s="89">
        <v>1300</v>
      </c>
    </row>
    <row r="126" spans="1:8" ht="18" customHeight="1" x14ac:dyDescent="0.25">
      <c r="A126" s="103">
        <f t="shared" si="9"/>
        <v>125</v>
      </c>
      <c r="B126" s="112" t="s">
        <v>243</v>
      </c>
      <c r="C126" s="89">
        <v>3250</v>
      </c>
      <c r="D126" s="89">
        <v>3250</v>
      </c>
      <c r="E126" s="89">
        <v>2499.19</v>
      </c>
      <c r="F126" s="89">
        <v>2500</v>
      </c>
      <c r="G126" s="89">
        <v>1806.12</v>
      </c>
      <c r="H126" s="89">
        <v>2500</v>
      </c>
    </row>
    <row r="127" spans="1:8" ht="18" customHeight="1" x14ac:dyDescent="0.25">
      <c r="A127" s="103">
        <f t="shared" si="9"/>
        <v>126</v>
      </c>
      <c r="B127" s="112" t="s">
        <v>76</v>
      </c>
      <c r="C127" s="89">
        <v>1500</v>
      </c>
      <c r="D127" s="89">
        <v>1500</v>
      </c>
      <c r="E127" s="89">
        <v>1047.6400000000001</v>
      </c>
      <c r="F127" s="89">
        <v>1500</v>
      </c>
      <c r="G127" s="89">
        <v>883.59</v>
      </c>
      <c r="H127" s="89">
        <v>1500</v>
      </c>
    </row>
    <row r="128" spans="1:8" ht="18" customHeight="1" x14ac:dyDescent="0.25">
      <c r="A128" s="103">
        <f t="shared" si="9"/>
        <v>127</v>
      </c>
      <c r="B128" s="177" t="s">
        <v>295</v>
      </c>
      <c r="C128" s="89">
        <v>0</v>
      </c>
      <c r="D128" s="89">
        <v>0</v>
      </c>
      <c r="E128" s="89">
        <v>0</v>
      </c>
      <c r="F128" s="89">
        <v>0</v>
      </c>
      <c r="G128" s="89">
        <v>680.29</v>
      </c>
      <c r="H128" s="89">
        <v>0</v>
      </c>
    </row>
    <row r="129" spans="1:8" ht="18" customHeight="1" x14ac:dyDescent="0.25">
      <c r="A129" s="103">
        <f t="shared" si="9"/>
        <v>128</v>
      </c>
      <c r="B129" s="112" t="s">
        <v>77</v>
      </c>
      <c r="C129" s="89">
        <v>1500</v>
      </c>
      <c r="D129" s="89">
        <v>1500</v>
      </c>
      <c r="E129" s="89">
        <v>1412.09</v>
      </c>
      <c r="F129" s="89">
        <v>1500</v>
      </c>
      <c r="G129" s="89">
        <v>1553.74</v>
      </c>
      <c r="H129" s="89">
        <v>1500</v>
      </c>
    </row>
    <row r="130" spans="1:8" ht="18" customHeight="1" x14ac:dyDescent="0.25">
      <c r="A130" s="103">
        <f t="shared" si="9"/>
        <v>129</v>
      </c>
      <c r="B130" s="112" t="s">
        <v>78</v>
      </c>
      <c r="C130" s="89">
        <v>1600</v>
      </c>
      <c r="D130" s="89">
        <v>1600</v>
      </c>
      <c r="E130" s="89">
        <v>1537.79</v>
      </c>
      <c r="F130" s="89">
        <v>1600</v>
      </c>
      <c r="G130" s="89">
        <v>1146.0899999999999</v>
      </c>
      <c r="H130" s="89">
        <v>1600</v>
      </c>
    </row>
    <row r="131" spans="1:8" ht="18" customHeight="1" x14ac:dyDescent="0.25">
      <c r="A131" s="103">
        <f t="shared" ref="A131:A194" si="16">A130+1</f>
        <v>130</v>
      </c>
      <c r="B131" s="112" t="s">
        <v>79</v>
      </c>
      <c r="C131" s="89">
        <v>6000</v>
      </c>
      <c r="D131" s="89">
        <v>6000</v>
      </c>
      <c r="E131" s="89">
        <v>10652.39</v>
      </c>
      <c r="F131" s="89">
        <v>2500</v>
      </c>
      <c r="G131" s="89">
        <v>633.39</v>
      </c>
      <c r="H131" s="89">
        <v>5000</v>
      </c>
    </row>
    <row r="132" spans="1:8" ht="18" customHeight="1" x14ac:dyDescent="0.25">
      <c r="A132" s="103">
        <f t="shared" si="16"/>
        <v>131</v>
      </c>
      <c r="B132" s="112" t="s">
        <v>80</v>
      </c>
      <c r="C132" s="89">
        <v>2750</v>
      </c>
      <c r="D132" s="89">
        <v>2750</v>
      </c>
      <c r="E132" s="89">
        <v>3678.62</v>
      </c>
      <c r="F132" s="89">
        <v>2500</v>
      </c>
      <c r="G132" s="89">
        <v>1326.43</v>
      </c>
      <c r="H132" s="89">
        <v>2000</v>
      </c>
    </row>
    <row r="133" spans="1:8" ht="18" customHeight="1" x14ac:dyDescent="0.25">
      <c r="A133" s="103">
        <f t="shared" si="16"/>
        <v>132</v>
      </c>
      <c r="B133" s="130" t="s">
        <v>330</v>
      </c>
      <c r="C133" s="89">
        <v>5000</v>
      </c>
      <c r="D133" s="89">
        <v>5000</v>
      </c>
      <c r="E133" s="89">
        <v>13860.33</v>
      </c>
      <c r="F133" s="89">
        <v>3500</v>
      </c>
      <c r="G133" s="89">
        <v>4194.1499999999996</v>
      </c>
      <c r="H133" s="89">
        <v>2000</v>
      </c>
    </row>
    <row r="134" spans="1:8" ht="18" customHeight="1" x14ac:dyDescent="0.25">
      <c r="A134" s="103">
        <f t="shared" si="16"/>
        <v>133</v>
      </c>
      <c r="B134" s="112" t="s">
        <v>81</v>
      </c>
      <c r="C134" s="89">
        <v>1700</v>
      </c>
      <c r="D134" s="89">
        <v>1700</v>
      </c>
      <c r="E134" s="89">
        <v>1458.79</v>
      </c>
      <c r="F134" s="89">
        <v>1700</v>
      </c>
      <c r="G134" s="89">
        <v>1490.29</v>
      </c>
      <c r="H134" s="89">
        <v>1700</v>
      </c>
    </row>
    <row r="135" spans="1:8" ht="18" customHeight="1" x14ac:dyDescent="0.25">
      <c r="A135" s="103">
        <f t="shared" si="16"/>
        <v>134</v>
      </c>
      <c r="B135" s="112" t="s">
        <v>82</v>
      </c>
      <c r="C135" s="89">
        <v>0</v>
      </c>
      <c r="D135" s="89">
        <v>0</v>
      </c>
      <c r="E135" s="89">
        <v>0</v>
      </c>
      <c r="F135" s="89">
        <v>0</v>
      </c>
      <c r="G135" s="89">
        <v>20.84</v>
      </c>
      <c r="H135" s="89">
        <v>0</v>
      </c>
    </row>
    <row r="136" spans="1:8" ht="18" customHeight="1" x14ac:dyDescent="0.25">
      <c r="A136" s="103">
        <f t="shared" si="16"/>
        <v>135</v>
      </c>
      <c r="B136" s="100" t="s">
        <v>83</v>
      </c>
      <c r="C136" s="117">
        <f t="shared" ref="C136:D136" si="17">SUM(C122:C135)</f>
        <v>33800</v>
      </c>
      <c r="D136" s="117">
        <f t="shared" si="17"/>
        <v>33300</v>
      </c>
      <c r="E136" s="117">
        <f>SUM(E122:E135)</f>
        <v>50018.510000000009</v>
      </c>
      <c r="F136" s="117">
        <f>SUM(F122:F135)</f>
        <v>26300</v>
      </c>
      <c r="G136" s="117">
        <f>SUM(G122:G135)</f>
        <v>19689.78</v>
      </c>
      <c r="H136" s="117">
        <f>SUM(H122:H135)</f>
        <v>26800</v>
      </c>
    </row>
    <row r="137" spans="1:8" ht="18" customHeight="1" x14ac:dyDescent="0.25">
      <c r="A137" s="103">
        <f t="shared" si="16"/>
        <v>136</v>
      </c>
      <c r="B137" s="112"/>
      <c r="C137" s="105"/>
      <c r="D137" s="105"/>
      <c r="E137" s="105"/>
      <c r="F137" s="105"/>
      <c r="G137" s="105"/>
      <c r="H137" s="89"/>
    </row>
    <row r="138" spans="1:8" ht="18" customHeight="1" x14ac:dyDescent="0.25">
      <c r="A138" s="103">
        <f t="shared" si="16"/>
        <v>137</v>
      </c>
      <c r="B138" s="109" t="s">
        <v>314</v>
      </c>
      <c r="C138" s="105"/>
      <c r="D138" s="105"/>
      <c r="E138" s="105"/>
      <c r="F138" s="105"/>
      <c r="G138" s="105"/>
      <c r="H138" s="89"/>
    </row>
    <row r="139" spans="1:8" ht="18" customHeight="1" x14ac:dyDescent="0.25">
      <c r="A139" s="103">
        <f t="shared" si="16"/>
        <v>138</v>
      </c>
      <c r="B139" s="135" t="s">
        <v>219</v>
      </c>
      <c r="C139" s="90">
        <v>14000</v>
      </c>
      <c r="D139" s="90">
        <v>14000</v>
      </c>
      <c r="E139" s="90">
        <v>2009.08</v>
      </c>
      <c r="F139" s="90">
        <v>14000</v>
      </c>
      <c r="G139" s="90">
        <v>6888.6</v>
      </c>
      <c r="H139" s="90">
        <v>14000</v>
      </c>
    </row>
    <row r="140" spans="1:8" ht="18" customHeight="1" x14ac:dyDescent="0.25">
      <c r="A140" s="103">
        <f t="shared" si="16"/>
        <v>139</v>
      </c>
      <c r="B140" s="112" t="s">
        <v>50</v>
      </c>
      <c r="C140" s="89">
        <v>4000</v>
      </c>
      <c r="D140" s="89">
        <v>5000</v>
      </c>
      <c r="E140" s="89">
        <v>2436</v>
      </c>
      <c r="F140" s="89">
        <v>5000</v>
      </c>
      <c r="G140" s="89">
        <v>3927</v>
      </c>
      <c r="H140" s="89">
        <v>5000</v>
      </c>
    </row>
    <row r="141" spans="1:8" ht="18" customHeight="1" x14ac:dyDescent="0.25">
      <c r="A141" s="103">
        <f t="shared" si="16"/>
        <v>140</v>
      </c>
      <c r="B141" s="100" t="s">
        <v>84</v>
      </c>
      <c r="C141" s="117">
        <f t="shared" ref="C141:H141" si="18">SUM(C139:C140)</f>
        <v>18000</v>
      </c>
      <c r="D141" s="117">
        <f t="shared" si="18"/>
        <v>19000</v>
      </c>
      <c r="E141" s="117">
        <f t="shared" si="18"/>
        <v>4445.08</v>
      </c>
      <c r="F141" s="117">
        <f t="shared" si="18"/>
        <v>19000</v>
      </c>
      <c r="G141" s="117">
        <f t="shared" si="18"/>
        <v>10815.6</v>
      </c>
      <c r="H141" s="117">
        <f t="shared" si="18"/>
        <v>19000</v>
      </c>
    </row>
    <row r="142" spans="1:8" ht="18" customHeight="1" x14ac:dyDescent="0.25">
      <c r="A142" s="103">
        <f t="shared" si="16"/>
        <v>141</v>
      </c>
      <c r="B142" s="143"/>
      <c r="C142" s="105"/>
      <c r="D142" s="105"/>
      <c r="E142" s="105"/>
      <c r="F142" s="105"/>
      <c r="G142" s="105"/>
      <c r="H142" s="89"/>
    </row>
    <row r="143" spans="1:8" ht="18" customHeight="1" x14ac:dyDescent="0.25">
      <c r="A143" s="103">
        <f t="shared" si="16"/>
        <v>142</v>
      </c>
      <c r="B143" s="109" t="s">
        <v>85</v>
      </c>
      <c r="C143" s="105"/>
      <c r="D143" s="105"/>
      <c r="E143" s="105"/>
      <c r="F143" s="105"/>
      <c r="G143" s="105"/>
      <c r="H143" s="89"/>
    </row>
    <row r="144" spans="1:8" ht="18" customHeight="1" x14ac:dyDescent="0.25">
      <c r="A144" s="103">
        <f t="shared" si="16"/>
        <v>143</v>
      </c>
      <c r="B144" s="121" t="s">
        <v>86</v>
      </c>
      <c r="C144" s="88">
        <v>18284.189999999999</v>
      </c>
      <c r="D144" s="88">
        <v>19000</v>
      </c>
      <c r="E144" s="90">
        <v>15680</v>
      </c>
      <c r="F144" s="90">
        <v>19000</v>
      </c>
      <c r="G144" s="90">
        <v>17607</v>
      </c>
      <c r="H144" s="90">
        <v>19000</v>
      </c>
    </row>
    <row r="145" spans="1:8" ht="18" customHeight="1" x14ac:dyDescent="0.25">
      <c r="A145" s="103">
        <f t="shared" si="16"/>
        <v>144</v>
      </c>
      <c r="B145" s="112" t="s">
        <v>87</v>
      </c>
      <c r="C145" s="124">
        <v>8244</v>
      </c>
      <c r="D145" s="124">
        <v>9160</v>
      </c>
      <c r="E145" s="89">
        <v>19104</v>
      </c>
      <c r="F145" s="89">
        <v>9944</v>
      </c>
      <c r="G145" s="89">
        <v>9944</v>
      </c>
      <c r="H145" s="89">
        <v>9944</v>
      </c>
    </row>
    <row r="146" spans="1:8" ht="18" customHeight="1" x14ac:dyDescent="0.25">
      <c r="A146" s="103">
        <f t="shared" si="16"/>
        <v>145</v>
      </c>
      <c r="B146" s="112" t="s">
        <v>88</v>
      </c>
      <c r="C146" s="124">
        <v>2304</v>
      </c>
      <c r="D146" s="124">
        <v>2233</v>
      </c>
      <c r="E146" s="89">
        <v>2190</v>
      </c>
      <c r="F146" s="89">
        <v>2053</v>
      </c>
      <c r="G146" s="89">
        <v>2190</v>
      </c>
      <c r="H146" s="89">
        <v>2053</v>
      </c>
    </row>
    <row r="147" spans="1:8" ht="18" customHeight="1" x14ac:dyDescent="0.25">
      <c r="A147" s="103">
        <f t="shared" si="16"/>
        <v>146</v>
      </c>
      <c r="B147" s="112" t="s">
        <v>89</v>
      </c>
      <c r="C147" s="124">
        <v>1493</v>
      </c>
      <c r="D147" s="124">
        <v>1447</v>
      </c>
      <c r="E147" s="89">
        <v>1383</v>
      </c>
      <c r="F147" s="89">
        <v>1383</v>
      </c>
      <c r="G147" s="89">
        <v>1383</v>
      </c>
      <c r="H147" s="89">
        <v>1383</v>
      </c>
    </row>
    <row r="148" spans="1:8" ht="18" customHeight="1" x14ac:dyDescent="0.25">
      <c r="A148" s="103">
        <f t="shared" si="16"/>
        <v>147</v>
      </c>
      <c r="B148" s="100" t="s">
        <v>90</v>
      </c>
      <c r="C148" s="117">
        <f t="shared" ref="C148:D148" si="19">SUM(C144:C147)</f>
        <v>30325.19</v>
      </c>
      <c r="D148" s="117">
        <f t="shared" si="19"/>
        <v>31840</v>
      </c>
      <c r="E148" s="117">
        <f>SUM(E144:E147)</f>
        <v>38357</v>
      </c>
      <c r="F148" s="117">
        <f>SUM(F144:F147)</f>
        <v>32380</v>
      </c>
      <c r="G148" s="117">
        <f>SUM(G144:G147)</f>
        <v>31124</v>
      </c>
      <c r="H148" s="117">
        <f>SUM(H144:H147)</f>
        <v>32380</v>
      </c>
    </row>
    <row r="149" spans="1:8" ht="18" customHeight="1" x14ac:dyDescent="0.25">
      <c r="A149" s="103">
        <f t="shared" si="16"/>
        <v>148</v>
      </c>
      <c r="B149" s="112"/>
      <c r="C149" s="105"/>
      <c r="D149" s="105"/>
      <c r="E149" s="105"/>
      <c r="F149" s="105"/>
      <c r="G149" s="105"/>
      <c r="H149" s="89"/>
    </row>
    <row r="150" spans="1:8" ht="18" customHeight="1" x14ac:dyDescent="0.25">
      <c r="A150" s="103">
        <f t="shared" si="16"/>
        <v>149</v>
      </c>
      <c r="B150" s="109" t="s">
        <v>91</v>
      </c>
      <c r="C150" s="105"/>
      <c r="D150" s="105"/>
      <c r="E150" s="105"/>
      <c r="F150" s="105"/>
      <c r="G150" s="105"/>
      <c r="H150" s="89"/>
    </row>
    <row r="151" spans="1:8" ht="18" customHeight="1" x14ac:dyDescent="0.25">
      <c r="A151" s="103">
        <f t="shared" si="16"/>
        <v>150</v>
      </c>
      <c r="B151" s="121" t="s">
        <v>244</v>
      </c>
      <c r="C151" s="88">
        <v>500</v>
      </c>
      <c r="D151" s="88">
        <v>500</v>
      </c>
      <c r="E151" s="90">
        <v>225</v>
      </c>
      <c r="F151" s="90">
        <v>300</v>
      </c>
      <c r="G151" s="90">
        <v>0</v>
      </c>
      <c r="H151" s="90">
        <v>300</v>
      </c>
    </row>
    <row r="152" spans="1:8" ht="18" customHeight="1" x14ac:dyDescent="0.25">
      <c r="A152" s="103">
        <f t="shared" si="16"/>
        <v>151</v>
      </c>
      <c r="B152" s="112" t="s">
        <v>245</v>
      </c>
      <c r="C152" s="124">
        <v>0</v>
      </c>
      <c r="D152" s="124">
        <v>2000</v>
      </c>
      <c r="E152" s="89">
        <v>17.5</v>
      </c>
      <c r="F152" s="89">
        <v>2000</v>
      </c>
      <c r="G152" s="89">
        <v>29</v>
      </c>
      <c r="H152" s="89">
        <v>2000</v>
      </c>
    </row>
    <row r="153" spans="1:8" ht="18" customHeight="1" x14ac:dyDescent="0.25">
      <c r="A153" s="103">
        <f t="shared" si="16"/>
        <v>152</v>
      </c>
      <c r="B153" s="112" t="s">
        <v>74</v>
      </c>
      <c r="C153" s="124">
        <v>1900</v>
      </c>
      <c r="D153" s="124">
        <v>2700</v>
      </c>
      <c r="E153" s="89">
        <v>544.14</v>
      </c>
      <c r="F153" s="89">
        <v>2700</v>
      </c>
      <c r="G153" s="89">
        <v>2064.85</v>
      </c>
      <c r="H153" s="89">
        <v>2700</v>
      </c>
    </row>
    <row r="154" spans="1:8" ht="18" customHeight="1" x14ac:dyDescent="0.25">
      <c r="A154" s="103">
        <f t="shared" si="16"/>
        <v>153</v>
      </c>
      <c r="B154" s="112" t="s">
        <v>92</v>
      </c>
      <c r="C154" s="124">
        <v>750</v>
      </c>
      <c r="D154" s="124">
        <v>750</v>
      </c>
      <c r="E154" s="89">
        <v>616.85</v>
      </c>
      <c r="F154" s="89">
        <v>750</v>
      </c>
      <c r="G154" s="89">
        <v>549.52</v>
      </c>
      <c r="H154" s="89">
        <v>750</v>
      </c>
    </row>
    <row r="155" spans="1:8" ht="18" customHeight="1" x14ac:dyDescent="0.25">
      <c r="A155" s="103">
        <f t="shared" si="16"/>
        <v>154</v>
      </c>
      <c r="B155" s="112" t="s">
        <v>93</v>
      </c>
      <c r="C155" s="124">
        <v>200</v>
      </c>
      <c r="D155" s="124">
        <v>200</v>
      </c>
      <c r="E155" s="89">
        <v>55.32</v>
      </c>
      <c r="F155" s="89">
        <v>200</v>
      </c>
      <c r="G155" s="89">
        <v>4.79</v>
      </c>
      <c r="H155" s="89">
        <v>200</v>
      </c>
    </row>
    <row r="156" spans="1:8" ht="18" customHeight="1" x14ac:dyDescent="0.25">
      <c r="A156" s="103">
        <f t="shared" si="16"/>
        <v>155</v>
      </c>
      <c r="B156" s="112" t="s">
        <v>94</v>
      </c>
      <c r="C156" s="124">
        <v>5000</v>
      </c>
      <c r="D156" s="124">
        <v>4000</v>
      </c>
      <c r="E156" s="89">
        <v>3564.54</v>
      </c>
      <c r="F156" s="89">
        <v>3000</v>
      </c>
      <c r="G156" s="89">
        <v>2899.38</v>
      </c>
      <c r="H156" s="89">
        <v>3000</v>
      </c>
    </row>
    <row r="157" spans="1:8" ht="18" customHeight="1" x14ac:dyDescent="0.25">
      <c r="A157" s="103">
        <f t="shared" si="16"/>
        <v>156</v>
      </c>
      <c r="B157" s="100" t="s">
        <v>95</v>
      </c>
      <c r="C157" s="117">
        <f t="shared" ref="C157:D157" si="20">SUM(C151:C156)</f>
        <v>8350</v>
      </c>
      <c r="D157" s="117">
        <f t="shared" si="20"/>
        <v>10150</v>
      </c>
      <c r="E157" s="117">
        <f>SUM(E151:E156)</f>
        <v>5023.3500000000004</v>
      </c>
      <c r="F157" s="117">
        <f>SUM(F151:F156)</f>
        <v>8950</v>
      </c>
      <c r="G157" s="117">
        <f>SUM(G151:G156)</f>
        <v>5547.54</v>
      </c>
      <c r="H157" s="117">
        <f>SUM(H151:H156)</f>
        <v>8950</v>
      </c>
    </row>
    <row r="158" spans="1:8" ht="18" customHeight="1" x14ac:dyDescent="0.25">
      <c r="A158" s="103">
        <f t="shared" si="16"/>
        <v>157</v>
      </c>
      <c r="B158" s="112"/>
      <c r="C158" s="105"/>
      <c r="D158" s="105"/>
      <c r="E158" s="105"/>
      <c r="F158" s="105"/>
      <c r="G158" s="105"/>
      <c r="H158" s="89"/>
    </row>
    <row r="159" spans="1:8" ht="18" customHeight="1" x14ac:dyDescent="0.25">
      <c r="A159" s="103">
        <f t="shared" si="16"/>
        <v>158</v>
      </c>
      <c r="B159" s="109" t="s">
        <v>96</v>
      </c>
      <c r="C159" s="105"/>
      <c r="D159" s="105"/>
      <c r="E159" s="105"/>
      <c r="F159" s="105"/>
      <c r="G159" s="105"/>
      <c r="H159" s="89"/>
    </row>
    <row r="160" spans="1:8" ht="18" customHeight="1" x14ac:dyDescent="0.25">
      <c r="A160" s="103">
        <f t="shared" si="16"/>
        <v>159</v>
      </c>
      <c r="B160" s="121" t="s">
        <v>246</v>
      </c>
      <c r="C160" s="90">
        <v>0</v>
      </c>
      <c r="D160" s="90">
        <v>0</v>
      </c>
      <c r="E160" s="90">
        <v>0</v>
      </c>
      <c r="F160" s="90">
        <v>0</v>
      </c>
      <c r="G160" s="90">
        <v>15</v>
      </c>
      <c r="H160" s="90">
        <v>1000</v>
      </c>
    </row>
    <row r="161" spans="1:8" ht="18" customHeight="1" x14ac:dyDescent="0.25">
      <c r="A161" s="103">
        <f t="shared" si="16"/>
        <v>160</v>
      </c>
      <c r="B161" s="112" t="s">
        <v>97</v>
      </c>
      <c r="C161" s="89">
        <v>0</v>
      </c>
      <c r="D161" s="89">
        <v>1500</v>
      </c>
      <c r="E161" s="89">
        <v>0</v>
      </c>
      <c r="F161" s="89">
        <v>1500</v>
      </c>
      <c r="G161" s="89">
        <v>0</v>
      </c>
      <c r="H161" s="89">
        <v>1500</v>
      </c>
    </row>
    <row r="162" spans="1:8" ht="18" customHeight="1" x14ac:dyDescent="0.25">
      <c r="A162" s="103">
        <f t="shared" si="16"/>
        <v>161</v>
      </c>
      <c r="B162" s="112" t="s">
        <v>98</v>
      </c>
      <c r="C162" s="89">
        <v>0</v>
      </c>
      <c r="D162" s="89">
        <v>0</v>
      </c>
      <c r="E162" s="89">
        <v>162.33000000000001</v>
      </c>
      <c r="F162" s="89">
        <v>0</v>
      </c>
      <c r="G162" s="89">
        <v>615.54999999999995</v>
      </c>
      <c r="H162" s="89">
        <v>0</v>
      </c>
    </row>
    <row r="163" spans="1:8" ht="18" customHeight="1" x14ac:dyDescent="0.25">
      <c r="A163" s="103">
        <f t="shared" si="16"/>
        <v>162</v>
      </c>
      <c r="B163" s="112" t="s">
        <v>99</v>
      </c>
      <c r="C163" s="89">
        <v>0</v>
      </c>
      <c r="D163" s="89">
        <v>0</v>
      </c>
      <c r="E163" s="89">
        <v>0</v>
      </c>
      <c r="F163" s="89">
        <v>0</v>
      </c>
      <c r="G163" s="89">
        <v>0</v>
      </c>
      <c r="H163" s="89">
        <v>0</v>
      </c>
    </row>
    <row r="164" spans="1:8" ht="18" customHeight="1" x14ac:dyDescent="0.25">
      <c r="A164" s="103">
        <f t="shared" si="16"/>
        <v>163</v>
      </c>
      <c r="B164" s="112" t="s">
        <v>100</v>
      </c>
      <c r="C164" s="89">
        <v>0</v>
      </c>
      <c r="D164" s="89">
        <v>0</v>
      </c>
      <c r="E164" s="89">
        <v>368.2</v>
      </c>
      <c r="F164" s="89">
        <v>0</v>
      </c>
      <c r="G164" s="89">
        <v>226.12</v>
      </c>
      <c r="H164" s="89">
        <v>0</v>
      </c>
    </row>
    <row r="165" spans="1:8" ht="18" customHeight="1" x14ac:dyDescent="0.25">
      <c r="A165" s="103">
        <f t="shared" si="16"/>
        <v>164</v>
      </c>
      <c r="B165" s="100" t="s">
        <v>101</v>
      </c>
      <c r="C165" s="117">
        <f t="shared" ref="C165:D165" si="21">SUM(C160:C164)</f>
        <v>0</v>
      </c>
      <c r="D165" s="117">
        <f t="shared" si="21"/>
        <v>1500</v>
      </c>
      <c r="E165" s="117">
        <f>SUM(E160:E164)</f>
        <v>530.53</v>
      </c>
      <c r="F165" s="117">
        <f>SUM(F160:F164)</f>
        <v>1500</v>
      </c>
      <c r="G165" s="117">
        <f>SUM(G160:G164)</f>
        <v>856.67</v>
      </c>
      <c r="H165" s="117">
        <f>SUM(H160:H164)</f>
        <v>2500</v>
      </c>
    </row>
    <row r="166" spans="1:8" ht="18" customHeight="1" x14ac:dyDescent="0.25">
      <c r="A166" s="103">
        <f t="shared" si="16"/>
        <v>165</v>
      </c>
      <c r="B166" s="143"/>
      <c r="C166" s="105"/>
      <c r="D166" s="105"/>
      <c r="E166" s="105"/>
      <c r="F166" s="105"/>
      <c r="G166" s="105"/>
      <c r="H166" s="89"/>
    </row>
    <row r="167" spans="1:8" ht="18" customHeight="1" x14ac:dyDescent="0.25">
      <c r="A167" s="103">
        <f t="shared" si="16"/>
        <v>166</v>
      </c>
      <c r="B167" s="109" t="s">
        <v>102</v>
      </c>
      <c r="C167" s="105"/>
      <c r="D167" s="105"/>
      <c r="E167" s="105"/>
      <c r="F167" s="105"/>
      <c r="G167" s="105"/>
      <c r="H167" s="89"/>
    </row>
    <row r="168" spans="1:8" ht="18" customHeight="1" x14ac:dyDescent="0.25">
      <c r="A168" s="103">
        <f t="shared" si="16"/>
        <v>167</v>
      </c>
      <c r="B168" s="121" t="s">
        <v>103</v>
      </c>
      <c r="C168" s="88">
        <v>3000</v>
      </c>
      <c r="D168" s="88">
        <v>2500</v>
      </c>
      <c r="E168" s="90">
        <v>714.28</v>
      </c>
      <c r="F168" s="90">
        <v>2500</v>
      </c>
      <c r="G168" s="90">
        <v>2457.14</v>
      </c>
      <c r="H168" s="90">
        <v>2500</v>
      </c>
    </row>
    <row r="169" spans="1:8" ht="18" customHeight="1" x14ac:dyDescent="0.25">
      <c r="A169" s="103">
        <f t="shared" si="16"/>
        <v>168</v>
      </c>
      <c r="B169" s="112" t="s">
        <v>247</v>
      </c>
      <c r="C169" s="124">
        <v>50</v>
      </c>
      <c r="D169" s="124">
        <v>50</v>
      </c>
      <c r="E169" s="89">
        <v>42.28</v>
      </c>
      <c r="F169" s="89">
        <v>25</v>
      </c>
      <c r="G169" s="89">
        <v>484.08</v>
      </c>
      <c r="H169" s="89">
        <v>25</v>
      </c>
    </row>
    <row r="170" spans="1:8" ht="18" customHeight="1" x14ac:dyDescent="0.25">
      <c r="A170" s="103">
        <f t="shared" si="16"/>
        <v>169</v>
      </c>
      <c r="B170" s="112" t="s">
        <v>248</v>
      </c>
      <c r="C170" s="124">
        <v>2000</v>
      </c>
      <c r="D170" s="124">
        <v>2000</v>
      </c>
      <c r="E170" s="89">
        <v>1258</v>
      </c>
      <c r="F170" s="89">
        <v>1750</v>
      </c>
      <c r="G170" s="89">
        <v>1714.94</v>
      </c>
      <c r="H170" s="89">
        <v>1400</v>
      </c>
    </row>
    <row r="171" spans="1:8" ht="18" customHeight="1" x14ac:dyDescent="0.25">
      <c r="A171" s="103">
        <f t="shared" si="16"/>
        <v>170</v>
      </c>
      <c r="B171" s="112" t="s">
        <v>104</v>
      </c>
      <c r="C171" s="124">
        <v>2500</v>
      </c>
      <c r="D171" s="124">
        <v>2500</v>
      </c>
      <c r="E171" s="89">
        <v>2992.25</v>
      </c>
      <c r="F171" s="89">
        <v>2500</v>
      </c>
      <c r="G171" s="89">
        <v>1060.3</v>
      </c>
      <c r="H171" s="89">
        <v>2000</v>
      </c>
    </row>
    <row r="172" spans="1:8" ht="18" customHeight="1" x14ac:dyDescent="0.25">
      <c r="A172" s="103">
        <f t="shared" si="16"/>
        <v>171</v>
      </c>
      <c r="B172" s="114" t="s">
        <v>342</v>
      </c>
      <c r="C172" s="124">
        <v>500</v>
      </c>
      <c r="D172" s="124">
        <v>0</v>
      </c>
      <c r="E172" s="89">
        <v>300.52999999999997</v>
      </c>
      <c r="F172" s="89">
        <v>0</v>
      </c>
      <c r="G172" s="89">
        <v>0</v>
      </c>
      <c r="H172" s="89">
        <v>0</v>
      </c>
    </row>
    <row r="173" spans="1:8" ht="18" customHeight="1" x14ac:dyDescent="0.25">
      <c r="A173" s="103">
        <f t="shared" si="16"/>
        <v>172</v>
      </c>
      <c r="B173" s="112" t="s">
        <v>105</v>
      </c>
      <c r="C173" s="124">
        <v>1000</v>
      </c>
      <c r="D173" s="124">
        <v>1000</v>
      </c>
      <c r="E173" s="89">
        <v>1274.6500000000001</v>
      </c>
      <c r="F173" s="89">
        <v>1000</v>
      </c>
      <c r="G173" s="89">
        <v>497.7</v>
      </c>
      <c r="H173" s="89">
        <v>1500</v>
      </c>
    </row>
    <row r="174" spans="1:8" ht="18" customHeight="1" x14ac:dyDescent="0.25">
      <c r="A174" s="103">
        <f t="shared" si="16"/>
        <v>173</v>
      </c>
      <c r="B174" s="112" t="s">
        <v>249</v>
      </c>
      <c r="C174" s="124">
        <v>350</v>
      </c>
      <c r="D174" s="124">
        <v>300</v>
      </c>
      <c r="E174" s="89">
        <v>149.96</v>
      </c>
      <c r="F174" s="89">
        <v>250</v>
      </c>
      <c r="G174" s="89">
        <v>249.14</v>
      </c>
      <c r="H174" s="89">
        <v>250</v>
      </c>
    </row>
    <row r="175" spans="1:8" ht="18" customHeight="1" x14ac:dyDescent="0.25">
      <c r="A175" s="103">
        <f t="shared" si="16"/>
        <v>174</v>
      </c>
      <c r="B175" s="112" t="s">
        <v>106</v>
      </c>
      <c r="C175" s="124">
        <v>500</v>
      </c>
      <c r="D175" s="124">
        <v>500</v>
      </c>
      <c r="E175" s="89">
        <v>0</v>
      </c>
      <c r="F175" s="89">
        <v>500</v>
      </c>
      <c r="G175" s="89">
        <v>0</v>
      </c>
      <c r="H175" s="89">
        <v>500</v>
      </c>
    </row>
    <row r="176" spans="1:8" ht="18" customHeight="1" x14ac:dyDescent="0.25">
      <c r="A176" s="103">
        <f t="shared" si="16"/>
        <v>175</v>
      </c>
      <c r="B176" s="100" t="s">
        <v>220</v>
      </c>
      <c r="C176" s="117">
        <f t="shared" ref="C176:H176" si="22">SUM(C168:C175)</f>
        <v>9900</v>
      </c>
      <c r="D176" s="117">
        <f t="shared" si="22"/>
        <v>8850</v>
      </c>
      <c r="E176" s="117">
        <f t="shared" si="22"/>
        <v>6731.95</v>
      </c>
      <c r="F176" s="117">
        <f t="shared" si="22"/>
        <v>8525</v>
      </c>
      <c r="G176" s="117">
        <f t="shared" si="22"/>
        <v>6463.3</v>
      </c>
      <c r="H176" s="117">
        <f t="shared" si="22"/>
        <v>8175</v>
      </c>
    </row>
    <row r="177" spans="1:8" ht="18" customHeight="1" x14ac:dyDescent="0.25">
      <c r="A177" s="103">
        <f t="shared" si="16"/>
        <v>176</v>
      </c>
      <c r="B177" s="143"/>
      <c r="C177" s="105"/>
      <c r="D177" s="105"/>
      <c r="E177" s="105"/>
      <c r="F177" s="105"/>
      <c r="G177" s="105"/>
      <c r="H177" s="89"/>
    </row>
    <row r="178" spans="1:8" ht="18" customHeight="1" x14ac:dyDescent="0.25">
      <c r="A178" s="103">
        <f t="shared" si="16"/>
        <v>177</v>
      </c>
      <c r="B178" s="109" t="s">
        <v>107</v>
      </c>
      <c r="C178" s="105"/>
      <c r="D178" s="105"/>
      <c r="E178" s="105"/>
      <c r="F178" s="105"/>
      <c r="G178" s="105"/>
      <c r="H178" s="89"/>
    </row>
    <row r="179" spans="1:8" ht="18" customHeight="1" x14ac:dyDescent="0.25">
      <c r="A179" s="103">
        <f t="shared" si="16"/>
        <v>178</v>
      </c>
      <c r="B179" s="121" t="s">
        <v>108</v>
      </c>
      <c r="C179" s="88">
        <v>1000</v>
      </c>
      <c r="D179" s="88">
        <v>9000</v>
      </c>
      <c r="E179" s="179">
        <v>3602.98</v>
      </c>
      <c r="F179" s="179">
        <v>1500</v>
      </c>
      <c r="G179" s="179">
        <v>10897.55</v>
      </c>
      <c r="H179" s="179">
        <v>13600</v>
      </c>
    </row>
    <row r="180" spans="1:8" ht="18" customHeight="1" x14ac:dyDescent="0.25">
      <c r="A180" s="103">
        <f t="shared" si="16"/>
        <v>179</v>
      </c>
      <c r="B180" s="112" t="s">
        <v>109</v>
      </c>
      <c r="C180" s="124">
        <v>350</v>
      </c>
      <c r="D180" s="124">
        <v>350</v>
      </c>
      <c r="E180" s="180">
        <v>0</v>
      </c>
      <c r="F180" s="180">
        <v>300</v>
      </c>
      <c r="G180" s="180">
        <v>10989.39</v>
      </c>
      <c r="H180" s="180">
        <v>300</v>
      </c>
    </row>
    <row r="181" spans="1:8" ht="18" customHeight="1" x14ac:dyDescent="0.25">
      <c r="A181" s="103">
        <f t="shared" si="16"/>
        <v>180</v>
      </c>
      <c r="B181" s="112" t="s">
        <v>74</v>
      </c>
      <c r="C181" s="124">
        <v>19100</v>
      </c>
      <c r="D181" s="124">
        <v>17500</v>
      </c>
      <c r="E181" s="180">
        <v>16620.66</v>
      </c>
      <c r="F181" s="180">
        <v>18000</v>
      </c>
      <c r="G181" s="180">
        <v>760</v>
      </c>
      <c r="H181" s="180">
        <v>17500</v>
      </c>
    </row>
    <row r="182" spans="1:8" ht="18" customHeight="1" x14ac:dyDescent="0.25">
      <c r="A182" s="103">
        <f t="shared" si="16"/>
        <v>181</v>
      </c>
      <c r="B182" s="112" t="s">
        <v>110</v>
      </c>
      <c r="C182" s="124">
        <v>1400</v>
      </c>
      <c r="D182" s="124">
        <v>1300</v>
      </c>
      <c r="E182" s="180">
        <v>711.69</v>
      </c>
      <c r="F182" s="180">
        <v>1200</v>
      </c>
      <c r="G182" s="180">
        <v>16104</v>
      </c>
      <c r="H182" s="180">
        <v>1300</v>
      </c>
    </row>
    <row r="183" spans="1:8" ht="18" customHeight="1" x14ac:dyDescent="0.25">
      <c r="A183" s="103">
        <f t="shared" si="16"/>
        <v>182</v>
      </c>
      <c r="B183" s="112" t="s">
        <v>111</v>
      </c>
      <c r="C183" s="124">
        <v>1400</v>
      </c>
      <c r="D183" s="124">
        <v>1100</v>
      </c>
      <c r="E183" s="180">
        <v>2923.62</v>
      </c>
      <c r="F183" s="180">
        <v>1200</v>
      </c>
      <c r="G183" s="180">
        <v>1151.6099999999999</v>
      </c>
      <c r="H183" s="180">
        <v>1100</v>
      </c>
    </row>
    <row r="184" spans="1:8" ht="18" customHeight="1" x14ac:dyDescent="0.25">
      <c r="A184" s="103">
        <f t="shared" si="16"/>
        <v>183</v>
      </c>
      <c r="B184" s="114" t="s">
        <v>343</v>
      </c>
      <c r="C184" s="124">
        <v>0</v>
      </c>
      <c r="D184" s="124">
        <v>0</v>
      </c>
      <c r="E184" s="180">
        <v>896.68</v>
      </c>
      <c r="F184" s="180">
        <v>0</v>
      </c>
      <c r="G184" s="180">
        <v>0</v>
      </c>
      <c r="H184" s="180">
        <v>0</v>
      </c>
    </row>
    <row r="185" spans="1:8" ht="18" customHeight="1" x14ac:dyDescent="0.25">
      <c r="A185" s="103">
        <f t="shared" si="16"/>
        <v>184</v>
      </c>
      <c r="B185" s="112" t="s">
        <v>112</v>
      </c>
      <c r="C185" s="124">
        <v>3000</v>
      </c>
      <c r="D185" s="124">
        <v>3000</v>
      </c>
      <c r="E185" s="180">
        <v>111.26</v>
      </c>
      <c r="F185" s="180">
        <v>3000</v>
      </c>
      <c r="G185" s="180">
        <v>968.01</v>
      </c>
      <c r="H185" s="180">
        <v>1000</v>
      </c>
    </row>
    <row r="186" spans="1:8" ht="18" customHeight="1" x14ac:dyDescent="0.25">
      <c r="A186" s="103">
        <f t="shared" si="16"/>
        <v>185</v>
      </c>
      <c r="B186" s="112" t="s">
        <v>113</v>
      </c>
      <c r="C186" s="124">
        <v>1085</v>
      </c>
      <c r="D186" s="124">
        <v>985</v>
      </c>
      <c r="E186" s="180">
        <v>783</v>
      </c>
      <c r="F186" s="180">
        <v>875</v>
      </c>
      <c r="G186" s="180">
        <v>0</v>
      </c>
      <c r="H186" s="180">
        <v>875</v>
      </c>
    </row>
    <row r="187" spans="1:8" ht="18" customHeight="1" x14ac:dyDescent="0.25">
      <c r="A187" s="103">
        <f t="shared" si="16"/>
        <v>186</v>
      </c>
      <c r="B187" s="112" t="s">
        <v>114</v>
      </c>
      <c r="C187" s="124">
        <v>100</v>
      </c>
      <c r="D187" s="124">
        <v>500</v>
      </c>
      <c r="E187" s="180">
        <v>0</v>
      </c>
      <c r="F187" s="180">
        <v>500</v>
      </c>
      <c r="G187" s="180">
        <v>1323.5</v>
      </c>
      <c r="H187" s="180">
        <v>500</v>
      </c>
    </row>
    <row r="188" spans="1:8" ht="18" customHeight="1" x14ac:dyDescent="0.25">
      <c r="A188" s="103">
        <f t="shared" si="16"/>
        <v>187</v>
      </c>
      <c r="B188" s="112" t="s">
        <v>115</v>
      </c>
      <c r="C188" s="124">
        <v>100</v>
      </c>
      <c r="D188" s="124">
        <v>50</v>
      </c>
      <c r="E188" s="180">
        <v>0</v>
      </c>
      <c r="F188" s="180">
        <v>200</v>
      </c>
      <c r="G188" s="180">
        <v>0</v>
      </c>
      <c r="H188" s="180">
        <v>200</v>
      </c>
    </row>
    <row r="189" spans="1:8" ht="18" customHeight="1" x14ac:dyDescent="0.25">
      <c r="A189" s="103">
        <f t="shared" si="16"/>
        <v>188</v>
      </c>
      <c r="B189" s="177" t="s">
        <v>297</v>
      </c>
      <c r="C189" s="124">
        <v>0</v>
      </c>
      <c r="D189" s="124">
        <v>0</v>
      </c>
      <c r="E189" s="180">
        <v>809</v>
      </c>
      <c r="F189" s="180">
        <v>0</v>
      </c>
      <c r="G189" s="180">
        <v>123.72</v>
      </c>
      <c r="H189" s="180">
        <v>0</v>
      </c>
    </row>
    <row r="190" spans="1:8" ht="18" customHeight="1" x14ac:dyDescent="0.25">
      <c r="A190" s="103">
        <f t="shared" si="16"/>
        <v>189</v>
      </c>
      <c r="B190" s="112" t="s">
        <v>116</v>
      </c>
      <c r="C190" s="124">
        <v>500</v>
      </c>
      <c r="D190" s="124">
        <v>500</v>
      </c>
      <c r="E190" s="180">
        <v>0</v>
      </c>
      <c r="F190" s="180">
        <v>350</v>
      </c>
      <c r="G190" s="180">
        <v>0</v>
      </c>
      <c r="H190" s="180">
        <v>350</v>
      </c>
    </row>
    <row r="191" spans="1:8" ht="18" customHeight="1" x14ac:dyDescent="0.25">
      <c r="A191" s="103">
        <f t="shared" si="16"/>
        <v>190</v>
      </c>
      <c r="B191" s="112" t="s">
        <v>117</v>
      </c>
      <c r="C191" s="124">
        <v>4000</v>
      </c>
      <c r="D191" s="124">
        <v>4000</v>
      </c>
      <c r="E191" s="180">
        <v>4984.17</v>
      </c>
      <c r="F191" s="180">
        <v>2000</v>
      </c>
      <c r="G191" s="180">
        <v>0</v>
      </c>
      <c r="H191" s="180">
        <v>2000</v>
      </c>
    </row>
    <row r="192" spans="1:8" ht="18" customHeight="1" x14ac:dyDescent="0.25">
      <c r="A192" s="103">
        <f t="shared" si="16"/>
        <v>191</v>
      </c>
      <c r="B192" s="114" t="s">
        <v>344</v>
      </c>
      <c r="C192" s="124">
        <v>500</v>
      </c>
      <c r="D192" s="124">
        <v>0</v>
      </c>
      <c r="E192" s="180">
        <v>1367.16</v>
      </c>
      <c r="F192" s="180">
        <v>0</v>
      </c>
      <c r="G192" s="180">
        <v>0</v>
      </c>
      <c r="H192" s="180">
        <v>0</v>
      </c>
    </row>
    <row r="193" spans="1:8" ht="18" customHeight="1" x14ac:dyDescent="0.25">
      <c r="A193" s="103">
        <f t="shared" si="16"/>
        <v>192</v>
      </c>
      <c r="B193" s="177" t="s">
        <v>296</v>
      </c>
      <c r="C193" s="124">
        <v>0</v>
      </c>
      <c r="D193" s="124">
        <v>0</v>
      </c>
      <c r="E193" s="180">
        <v>69.319999999999993</v>
      </c>
      <c r="F193" s="180">
        <v>2000</v>
      </c>
      <c r="G193" s="180">
        <v>1302.22</v>
      </c>
      <c r="H193" s="180">
        <v>2000</v>
      </c>
    </row>
    <row r="194" spans="1:8" ht="18" customHeight="1" x14ac:dyDescent="0.25">
      <c r="A194" s="103">
        <f t="shared" si="16"/>
        <v>193</v>
      </c>
      <c r="B194" s="112" t="s">
        <v>118</v>
      </c>
      <c r="C194" s="124">
        <v>3000</v>
      </c>
      <c r="D194" s="124">
        <v>5000</v>
      </c>
      <c r="E194" s="180">
        <v>3033.97</v>
      </c>
      <c r="F194" s="180">
        <v>1200</v>
      </c>
      <c r="G194" s="180">
        <v>2396.09</v>
      </c>
      <c r="H194" s="180">
        <v>1200</v>
      </c>
    </row>
    <row r="195" spans="1:8" ht="18" customHeight="1" x14ac:dyDescent="0.25">
      <c r="A195" s="103">
        <f t="shared" ref="A195:A258" si="23">A194+1</f>
        <v>194</v>
      </c>
      <c r="B195" s="130" t="s">
        <v>325</v>
      </c>
      <c r="C195" s="124">
        <v>0</v>
      </c>
      <c r="D195" s="124">
        <v>500</v>
      </c>
      <c r="E195" s="180">
        <v>0</v>
      </c>
      <c r="F195" s="180">
        <v>0</v>
      </c>
      <c r="G195" s="180">
        <v>0</v>
      </c>
      <c r="H195" s="180">
        <v>0</v>
      </c>
    </row>
    <row r="196" spans="1:8" ht="18" customHeight="1" x14ac:dyDescent="0.25">
      <c r="A196" s="103">
        <f t="shared" si="23"/>
        <v>195</v>
      </c>
      <c r="B196" s="112" t="s">
        <v>119</v>
      </c>
      <c r="C196" s="124">
        <v>0</v>
      </c>
      <c r="D196" s="124">
        <v>0</v>
      </c>
      <c r="E196" s="180">
        <v>0</v>
      </c>
      <c r="F196" s="180">
        <v>800</v>
      </c>
      <c r="G196" s="180">
        <v>0</v>
      </c>
      <c r="H196" s="180">
        <v>800</v>
      </c>
    </row>
    <row r="197" spans="1:8" ht="18" customHeight="1" x14ac:dyDescent="0.25">
      <c r="A197" s="103">
        <f t="shared" si="23"/>
        <v>196</v>
      </c>
      <c r="B197" s="112" t="s">
        <v>120</v>
      </c>
      <c r="C197" s="124">
        <v>1785</v>
      </c>
      <c r="D197" s="124">
        <v>1700</v>
      </c>
      <c r="E197" s="180">
        <v>1287.53</v>
      </c>
      <c r="F197" s="180">
        <v>1250</v>
      </c>
      <c r="G197" s="180">
        <v>1445.14</v>
      </c>
      <c r="H197" s="180">
        <v>1250</v>
      </c>
    </row>
    <row r="198" spans="1:8" ht="18" customHeight="1" x14ac:dyDescent="0.25">
      <c r="A198" s="103">
        <f t="shared" si="23"/>
        <v>197</v>
      </c>
      <c r="B198" s="112" t="s">
        <v>121</v>
      </c>
      <c r="C198" s="124">
        <v>1995</v>
      </c>
      <c r="D198" s="124">
        <v>1900</v>
      </c>
      <c r="E198" s="180">
        <v>1404.35</v>
      </c>
      <c r="F198" s="180">
        <v>1250</v>
      </c>
      <c r="G198" s="180">
        <v>1613.27</v>
      </c>
      <c r="H198" s="180">
        <v>1250</v>
      </c>
    </row>
    <row r="199" spans="1:8" ht="18" customHeight="1" x14ac:dyDescent="0.25">
      <c r="A199" s="103">
        <f t="shared" si="23"/>
        <v>198</v>
      </c>
      <c r="B199" s="112" t="s">
        <v>122</v>
      </c>
      <c r="C199" s="124">
        <v>1998</v>
      </c>
      <c r="D199" s="124">
        <v>3500</v>
      </c>
      <c r="E199" s="180">
        <v>2680.85</v>
      </c>
      <c r="F199" s="180">
        <v>3000</v>
      </c>
      <c r="G199" s="180">
        <v>1956.77</v>
      </c>
      <c r="H199" s="180">
        <v>3500</v>
      </c>
    </row>
    <row r="200" spans="1:8" ht="18" customHeight="1" x14ac:dyDescent="0.25">
      <c r="A200" s="103">
        <f t="shared" si="23"/>
        <v>199</v>
      </c>
      <c r="B200" s="112" t="s">
        <v>123</v>
      </c>
      <c r="C200" s="124">
        <v>50</v>
      </c>
      <c r="D200" s="124">
        <v>50</v>
      </c>
      <c r="E200" s="180">
        <v>0</v>
      </c>
      <c r="F200" s="180">
        <v>50</v>
      </c>
      <c r="G200" s="180">
        <v>0</v>
      </c>
      <c r="H200" s="180">
        <v>50</v>
      </c>
    </row>
    <row r="201" spans="1:8" ht="18" customHeight="1" x14ac:dyDescent="0.25">
      <c r="A201" s="103">
        <f t="shared" si="23"/>
        <v>200</v>
      </c>
      <c r="B201" s="112" t="s">
        <v>124</v>
      </c>
      <c r="C201" s="124">
        <v>3610</v>
      </c>
      <c r="D201" s="124">
        <v>3100</v>
      </c>
      <c r="E201" s="180">
        <v>2618.39</v>
      </c>
      <c r="F201" s="180">
        <v>3650</v>
      </c>
      <c r="G201" s="180">
        <v>2057.81</v>
      </c>
      <c r="H201" s="180">
        <v>3500</v>
      </c>
    </row>
    <row r="202" spans="1:8" ht="18" customHeight="1" x14ac:dyDescent="0.25">
      <c r="A202" s="103">
        <f t="shared" si="23"/>
        <v>201</v>
      </c>
      <c r="B202" s="112" t="s">
        <v>125</v>
      </c>
      <c r="C202" s="124">
        <v>3900</v>
      </c>
      <c r="D202" s="124">
        <v>1500</v>
      </c>
      <c r="E202" s="180">
        <v>604.64</v>
      </c>
      <c r="F202" s="180">
        <v>6150</v>
      </c>
      <c r="G202" s="180">
        <v>3531.5</v>
      </c>
      <c r="H202" s="180">
        <v>1300</v>
      </c>
    </row>
    <row r="203" spans="1:8" ht="18" customHeight="1" x14ac:dyDescent="0.25">
      <c r="A203" s="103">
        <f t="shared" si="23"/>
        <v>202</v>
      </c>
      <c r="B203" s="112" t="s">
        <v>250</v>
      </c>
      <c r="C203" s="124">
        <v>1700</v>
      </c>
      <c r="D203" s="124">
        <v>1300</v>
      </c>
      <c r="E203" s="180">
        <v>992.56</v>
      </c>
      <c r="F203" s="180">
        <v>720</v>
      </c>
      <c r="G203" s="180">
        <v>1145.3599999999999</v>
      </c>
      <c r="H203" s="180">
        <v>1240</v>
      </c>
    </row>
    <row r="204" spans="1:8" ht="18" customHeight="1" x14ac:dyDescent="0.25">
      <c r="A204" s="103">
        <f t="shared" si="23"/>
        <v>203</v>
      </c>
      <c r="B204" s="181" t="s">
        <v>373</v>
      </c>
      <c r="C204" s="182">
        <v>10000</v>
      </c>
      <c r="D204" s="182">
        <v>0</v>
      </c>
      <c r="E204" s="180">
        <v>3159.67</v>
      </c>
      <c r="F204" s="180">
        <v>2500</v>
      </c>
      <c r="G204" s="180">
        <v>0</v>
      </c>
      <c r="H204" s="180">
        <v>2000</v>
      </c>
    </row>
    <row r="205" spans="1:8" ht="18" customHeight="1" x14ac:dyDescent="0.25">
      <c r="A205" s="103">
        <f t="shared" si="23"/>
        <v>204</v>
      </c>
      <c r="B205" s="130" t="s">
        <v>327</v>
      </c>
      <c r="C205" s="182">
        <v>60000</v>
      </c>
      <c r="D205" s="182">
        <v>0</v>
      </c>
      <c r="E205" s="180">
        <v>0</v>
      </c>
      <c r="F205" s="180">
        <v>0</v>
      </c>
      <c r="G205" s="180">
        <v>0</v>
      </c>
      <c r="H205" s="180">
        <v>0</v>
      </c>
    </row>
    <row r="206" spans="1:8" ht="18" customHeight="1" x14ac:dyDescent="0.25">
      <c r="A206" s="103">
        <f t="shared" si="23"/>
        <v>205</v>
      </c>
      <c r="B206" s="130" t="s">
        <v>326</v>
      </c>
      <c r="C206" s="182">
        <v>15000</v>
      </c>
      <c r="D206" s="182">
        <v>0</v>
      </c>
      <c r="E206" s="180">
        <v>0</v>
      </c>
      <c r="F206" s="180">
        <v>0</v>
      </c>
      <c r="G206" s="180">
        <v>0</v>
      </c>
      <c r="H206" s="180">
        <v>0</v>
      </c>
    </row>
    <row r="207" spans="1:8" ht="18" customHeight="1" x14ac:dyDescent="0.25">
      <c r="A207" s="103">
        <f t="shared" si="23"/>
        <v>206</v>
      </c>
      <c r="B207" s="112" t="s">
        <v>127</v>
      </c>
      <c r="C207" s="124">
        <v>400</v>
      </c>
      <c r="D207" s="124">
        <v>400</v>
      </c>
      <c r="E207" s="180">
        <v>524</v>
      </c>
      <c r="F207" s="180">
        <v>300</v>
      </c>
      <c r="G207" s="180">
        <v>192</v>
      </c>
      <c r="H207" s="180">
        <v>300</v>
      </c>
    </row>
    <row r="208" spans="1:8" ht="18" customHeight="1" x14ac:dyDescent="0.25">
      <c r="A208" s="103">
        <f t="shared" si="23"/>
        <v>207</v>
      </c>
      <c r="B208" s="100" t="s">
        <v>128</v>
      </c>
      <c r="C208" s="117">
        <f t="shared" ref="C208:H208" si="24">SUM(C179:C207)</f>
        <v>135973</v>
      </c>
      <c r="D208" s="117">
        <f t="shared" si="24"/>
        <v>57235</v>
      </c>
      <c r="E208" s="117">
        <f t="shared" si="24"/>
        <v>49185.499999999993</v>
      </c>
      <c r="F208" s="117">
        <f t="shared" si="24"/>
        <v>51995</v>
      </c>
      <c r="G208" s="117">
        <f t="shared" si="24"/>
        <v>57957.94</v>
      </c>
      <c r="H208" s="117">
        <f t="shared" si="24"/>
        <v>57115</v>
      </c>
    </row>
    <row r="209" spans="1:8" ht="18" customHeight="1" x14ac:dyDescent="0.25">
      <c r="A209" s="103">
        <f t="shared" si="23"/>
        <v>208</v>
      </c>
      <c r="B209" s="112"/>
      <c r="C209" s="105"/>
      <c r="D209" s="105"/>
      <c r="E209" s="105"/>
      <c r="F209" s="105"/>
      <c r="G209" s="105"/>
      <c r="H209" s="89"/>
    </row>
    <row r="210" spans="1:8" ht="18" customHeight="1" x14ac:dyDescent="0.25">
      <c r="A210" s="103">
        <f t="shared" si="23"/>
        <v>209</v>
      </c>
      <c r="B210" s="109" t="s">
        <v>129</v>
      </c>
      <c r="C210" s="105"/>
      <c r="D210" s="105"/>
      <c r="E210" s="105"/>
      <c r="F210" s="105"/>
      <c r="G210" s="105"/>
      <c r="H210" s="89"/>
    </row>
    <row r="211" spans="1:8" ht="18" customHeight="1" x14ac:dyDescent="0.25">
      <c r="A211" s="103">
        <f t="shared" si="23"/>
        <v>210</v>
      </c>
      <c r="B211" s="121" t="s">
        <v>130</v>
      </c>
      <c r="C211" s="88">
        <v>63280</v>
      </c>
      <c r="D211" s="88">
        <v>63280</v>
      </c>
      <c r="E211" s="90">
        <v>63280</v>
      </c>
      <c r="F211" s="90">
        <v>63280</v>
      </c>
      <c r="G211" s="90">
        <v>63280</v>
      </c>
      <c r="H211" s="90">
        <v>63280</v>
      </c>
    </row>
    <row r="212" spans="1:8" ht="18" customHeight="1" x14ac:dyDescent="0.25">
      <c r="A212" s="103">
        <f t="shared" si="23"/>
        <v>211</v>
      </c>
      <c r="B212" s="112" t="s">
        <v>131</v>
      </c>
      <c r="C212" s="124">
        <v>6668.5</v>
      </c>
      <c r="D212" s="124">
        <v>12000</v>
      </c>
      <c r="E212" s="89">
        <v>13705.27</v>
      </c>
      <c r="F212" s="89">
        <v>10000</v>
      </c>
      <c r="G212" s="89">
        <v>2648.97</v>
      </c>
      <c r="H212" s="89">
        <v>1200</v>
      </c>
    </row>
    <row r="213" spans="1:8" ht="18" customHeight="1" x14ac:dyDescent="0.25">
      <c r="A213" s="103">
        <f t="shared" si="23"/>
        <v>212</v>
      </c>
      <c r="B213" s="112" t="s">
        <v>132</v>
      </c>
      <c r="C213" s="124">
        <v>2712</v>
      </c>
      <c r="D213" s="124">
        <v>2172</v>
      </c>
      <c r="E213" s="89">
        <v>2712</v>
      </c>
      <c r="F213" s="89">
        <v>2172</v>
      </c>
      <c r="G213" s="89">
        <v>2712</v>
      </c>
      <c r="H213" s="89">
        <v>2172</v>
      </c>
    </row>
    <row r="214" spans="1:8" ht="18" customHeight="1" x14ac:dyDescent="0.25">
      <c r="A214" s="103">
        <f t="shared" si="23"/>
        <v>213</v>
      </c>
      <c r="B214" s="112" t="s">
        <v>133</v>
      </c>
      <c r="C214" s="124">
        <v>25000</v>
      </c>
      <c r="D214" s="124">
        <v>15000</v>
      </c>
      <c r="E214" s="89">
        <v>14115.11</v>
      </c>
      <c r="F214" s="89">
        <v>10000</v>
      </c>
      <c r="G214" s="89">
        <v>11274.21</v>
      </c>
      <c r="H214" s="89">
        <v>22000</v>
      </c>
    </row>
    <row r="215" spans="1:8" ht="18" customHeight="1" x14ac:dyDescent="0.25">
      <c r="A215" s="103">
        <f t="shared" si="23"/>
        <v>214</v>
      </c>
      <c r="B215" s="100" t="s">
        <v>134</v>
      </c>
      <c r="C215" s="117">
        <f t="shared" ref="C215:D215" si="25">SUM(C211:C214)</f>
        <v>97660.5</v>
      </c>
      <c r="D215" s="117">
        <f t="shared" si="25"/>
        <v>92452</v>
      </c>
      <c r="E215" s="117">
        <f>SUM(E211:E214)</f>
        <v>93812.38</v>
      </c>
      <c r="F215" s="117">
        <f>SUM(F211:F214)</f>
        <v>85452</v>
      </c>
      <c r="G215" s="117">
        <f>SUM(G211:G214)</f>
        <v>79915.179999999993</v>
      </c>
      <c r="H215" s="117">
        <f>SUM(H211:H214)</f>
        <v>88652</v>
      </c>
    </row>
    <row r="216" spans="1:8" ht="18" customHeight="1" x14ac:dyDescent="0.25">
      <c r="A216" s="103">
        <f t="shared" si="23"/>
        <v>215</v>
      </c>
      <c r="B216" s="112"/>
      <c r="C216" s="105"/>
      <c r="D216" s="105"/>
      <c r="E216" s="105"/>
      <c r="F216" s="105"/>
      <c r="G216" s="105"/>
      <c r="H216" s="89"/>
    </row>
    <row r="217" spans="1:8" ht="18" customHeight="1" x14ac:dyDescent="0.25">
      <c r="A217" s="103">
        <f t="shared" si="23"/>
        <v>216</v>
      </c>
      <c r="B217" s="109" t="s">
        <v>135</v>
      </c>
      <c r="C217" s="105"/>
      <c r="D217" s="105"/>
      <c r="E217" s="105"/>
      <c r="F217" s="105"/>
      <c r="G217" s="105"/>
      <c r="H217" s="89"/>
    </row>
    <row r="218" spans="1:8" ht="18" customHeight="1" x14ac:dyDescent="0.25">
      <c r="A218" s="103">
        <f t="shared" si="23"/>
        <v>217</v>
      </c>
      <c r="B218" s="121" t="s">
        <v>136</v>
      </c>
      <c r="C218" s="90">
        <v>1500</v>
      </c>
      <c r="D218" s="90">
        <v>1500</v>
      </c>
      <c r="E218" s="90">
        <v>2450</v>
      </c>
      <c r="F218" s="90">
        <v>1500</v>
      </c>
      <c r="G218" s="90">
        <v>0</v>
      </c>
      <c r="H218" s="90">
        <v>1500</v>
      </c>
    </row>
    <row r="219" spans="1:8" ht="18" customHeight="1" x14ac:dyDescent="0.25">
      <c r="A219" s="103">
        <f t="shared" si="23"/>
        <v>218</v>
      </c>
      <c r="B219" s="112" t="s">
        <v>137</v>
      </c>
      <c r="C219" s="89">
        <v>1500</v>
      </c>
      <c r="D219" s="89">
        <v>1500</v>
      </c>
      <c r="E219" s="89">
        <v>0</v>
      </c>
      <c r="F219" s="89">
        <v>1500</v>
      </c>
      <c r="G219" s="89">
        <v>0</v>
      </c>
      <c r="H219" s="89">
        <v>1500</v>
      </c>
    </row>
    <row r="220" spans="1:8" ht="18" customHeight="1" x14ac:dyDescent="0.25">
      <c r="A220" s="103">
        <f t="shared" si="23"/>
        <v>219</v>
      </c>
      <c r="B220" s="100" t="s">
        <v>138</v>
      </c>
      <c r="C220" s="117">
        <f t="shared" ref="C220:H220" si="26">SUM(C218:C219)</f>
        <v>3000</v>
      </c>
      <c r="D220" s="117">
        <f t="shared" si="26"/>
        <v>3000</v>
      </c>
      <c r="E220" s="117">
        <f t="shared" si="26"/>
        <v>2450</v>
      </c>
      <c r="F220" s="117">
        <f t="shared" si="26"/>
        <v>3000</v>
      </c>
      <c r="G220" s="117">
        <f t="shared" si="26"/>
        <v>0</v>
      </c>
      <c r="H220" s="117">
        <f t="shared" si="26"/>
        <v>3000</v>
      </c>
    </row>
    <row r="221" spans="1:8" ht="18" customHeight="1" x14ac:dyDescent="0.25">
      <c r="A221" s="103">
        <f t="shared" si="23"/>
        <v>220</v>
      </c>
      <c r="B221" s="143"/>
      <c r="C221" s="105"/>
      <c r="D221" s="105"/>
      <c r="E221" s="105"/>
      <c r="F221" s="105"/>
      <c r="G221" s="105"/>
      <c r="H221" s="89"/>
    </row>
    <row r="222" spans="1:8" ht="18" customHeight="1" x14ac:dyDescent="0.25">
      <c r="A222" s="103">
        <f t="shared" si="23"/>
        <v>221</v>
      </c>
      <c r="B222" s="109" t="s">
        <v>222</v>
      </c>
      <c r="C222" s="105"/>
      <c r="D222" s="105"/>
      <c r="E222" s="105"/>
      <c r="F222" s="105"/>
      <c r="G222" s="105"/>
      <c r="H222" s="89"/>
    </row>
    <row r="223" spans="1:8" ht="18" customHeight="1" x14ac:dyDescent="0.25">
      <c r="A223" s="103">
        <f t="shared" si="23"/>
        <v>222</v>
      </c>
      <c r="B223" s="121" t="s">
        <v>139</v>
      </c>
      <c r="C223" s="90">
        <v>1000</v>
      </c>
      <c r="D223" s="90">
        <v>1000</v>
      </c>
      <c r="E223" s="90">
        <v>630.5</v>
      </c>
      <c r="F223" s="90">
        <v>500</v>
      </c>
      <c r="G223" s="90">
        <v>0</v>
      </c>
      <c r="H223" s="90">
        <v>500</v>
      </c>
    </row>
    <row r="224" spans="1:8" ht="18" customHeight="1" x14ac:dyDescent="0.25">
      <c r="A224" s="103">
        <f t="shared" si="23"/>
        <v>223</v>
      </c>
      <c r="B224" s="112" t="s">
        <v>140</v>
      </c>
      <c r="C224" s="89">
        <v>400</v>
      </c>
      <c r="D224" s="89">
        <v>400</v>
      </c>
      <c r="E224" s="89">
        <v>308.35000000000002</v>
      </c>
      <c r="F224" s="89">
        <v>400</v>
      </c>
      <c r="G224" s="89">
        <v>357.42</v>
      </c>
      <c r="H224" s="89">
        <v>300</v>
      </c>
    </row>
    <row r="225" spans="1:8" ht="18" customHeight="1" x14ac:dyDescent="0.25">
      <c r="A225" s="103">
        <f t="shared" si="23"/>
        <v>224</v>
      </c>
      <c r="B225" s="100" t="s">
        <v>221</v>
      </c>
      <c r="C225" s="117">
        <f t="shared" ref="C225:H225" si="27">SUM(C223:C224)</f>
        <v>1400</v>
      </c>
      <c r="D225" s="117">
        <f t="shared" si="27"/>
        <v>1400</v>
      </c>
      <c r="E225" s="117">
        <f t="shared" si="27"/>
        <v>938.85</v>
      </c>
      <c r="F225" s="117">
        <f t="shared" si="27"/>
        <v>900</v>
      </c>
      <c r="G225" s="117">
        <f t="shared" si="27"/>
        <v>357.42</v>
      </c>
      <c r="H225" s="117">
        <f t="shared" si="27"/>
        <v>800</v>
      </c>
    </row>
    <row r="226" spans="1:8" ht="18" customHeight="1" x14ac:dyDescent="0.25">
      <c r="A226" s="103">
        <f t="shared" si="23"/>
        <v>225</v>
      </c>
      <c r="B226" s="143"/>
      <c r="C226" s="105"/>
      <c r="D226" s="105"/>
      <c r="E226" s="105"/>
      <c r="F226" s="105"/>
      <c r="G226" s="105"/>
      <c r="H226" s="89"/>
    </row>
    <row r="227" spans="1:8" ht="18" customHeight="1" x14ac:dyDescent="0.25">
      <c r="A227" s="103">
        <f t="shared" si="23"/>
        <v>226</v>
      </c>
      <c r="B227" s="109" t="s">
        <v>141</v>
      </c>
      <c r="C227" s="105"/>
      <c r="D227" s="105"/>
      <c r="E227" s="105"/>
      <c r="F227" s="105"/>
      <c r="G227" s="105"/>
      <c r="H227" s="89"/>
    </row>
    <row r="228" spans="1:8" ht="18" customHeight="1" x14ac:dyDescent="0.25">
      <c r="A228" s="103">
        <f t="shared" si="23"/>
        <v>227</v>
      </c>
      <c r="B228" s="121" t="s">
        <v>142</v>
      </c>
      <c r="C228" s="90">
        <v>0</v>
      </c>
      <c r="D228" s="90">
        <v>0</v>
      </c>
      <c r="E228" s="90">
        <v>0</v>
      </c>
      <c r="F228" s="90">
        <v>0</v>
      </c>
      <c r="G228" s="90">
        <v>0</v>
      </c>
      <c r="H228" s="90">
        <v>1000</v>
      </c>
    </row>
    <row r="229" spans="1:8" ht="18" customHeight="1" x14ac:dyDescent="0.25">
      <c r="A229" s="103">
        <f t="shared" si="23"/>
        <v>228</v>
      </c>
      <c r="B229" s="177" t="s">
        <v>298</v>
      </c>
      <c r="C229" s="89">
        <v>1500</v>
      </c>
      <c r="D229" s="89">
        <v>1500</v>
      </c>
      <c r="E229" s="89">
        <v>0</v>
      </c>
      <c r="F229" s="89">
        <v>0</v>
      </c>
      <c r="G229" s="89">
        <v>0</v>
      </c>
      <c r="H229" s="89">
        <v>0</v>
      </c>
    </row>
    <row r="230" spans="1:8" ht="18" customHeight="1" x14ac:dyDescent="0.25">
      <c r="A230" s="103">
        <f t="shared" si="23"/>
        <v>229</v>
      </c>
      <c r="B230" s="183" t="s">
        <v>312</v>
      </c>
      <c r="C230" s="142">
        <v>0</v>
      </c>
      <c r="D230" s="142">
        <v>0</v>
      </c>
      <c r="E230" s="142">
        <v>0</v>
      </c>
      <c r="F230" s="142">
        <v>0</v>
      </c>
      <c r="G230" s="142">
        <v>5000</v>
      </c>
      <c r="H230" s="142">
        <v>0</v>
      </c>
    </row>
    <row r="231" spans="1:8" ht="18" customHeight="1" x14ac:dyDescent="0.25">
      <c r="A231" s="103">
        <f t="shared" si="23"/>
        <v>230</v>
      </c>
      <c r="B231" s="119" t="s">
        <v>143</v>
      </c>
      <c r="C231" s="120">
        <f t="shared" ref="C231:H231" si="28">SUM(C228:C230)</f>
        <v>1500</v>
      </c>
      <c r="D231" s="120">
        <f t="shared" si="28"/>
        <v>1500</v>
      </c>
      <c r="E231" s="120">
        <f t="shared" si="28"/>
        <v>0</v>
      </c>
      <c r="F231" s="120">
        <f t="shared" si="28"/>
        <v>0</v>
      </c>
      <c r="G231" s="120">
        <f t="shared" si="28"/>
        <v>5000</v>
      </c>
      <c r="H231" s="120">
        <f t="shared" si="28"/>
        <v>1000</v>
      </c>
    </row>
    <row r="232" spans="1:8" ht="18" customHeight="1" x14ac:dyDescent="0.25">
      <c r="A232" s="103">
        <f t="shared" si="23"/>
        <v>231</v>
      </c>
      <c r="B232" s="143"/>
      <c r="C232" s="105"/>
      <c r="D232" s="105"/>
      <c r="E232" s="105"/>
      <c r="F232" s="105"/>
      <c r="G232" s="105"/>
      <c r="H232" s="89"/>
    </row>
    <row r="233" spans="1:8" ht="18" customHeight="1" x14ac:dyDescent="0.25">
      <c r="A233" s="103">
        <f t="shared" si="23"/>
        <v>232</v>
      </c>
      <c r="B233" s="119" t="s">
        <v>291</v>
      </c>
      <c r="C233" s="105"/>
      <c r="D233" s="105"/>
      <c r="E233" s="105"/>
      <c r="F233" s="105"/>
      <c r="G233" s="105"/>
      <c r="H233" s="89"/>
    </row>
    <row r="234" spans="1:8" ht="18" customHeight="1" x14ac:dyDescent="0.25">
      <c r="A234" s="103">
        <f t="shared" si="23"/>
        <v>233</v>
      </c>
      <c r="B234" s="110" t="s">
        <v>289</v>
      </c>
      <c r="C234" s="90">
        <v>0</v>
      </c>
      <c r="D234" s="90">
        <v>0</v>
      </c>
      <c r="E234" s="90">
        <v>5000</v>
      </c>
      <c r="F234" s="90">
        <v>5000</v>
      </c>
      <c r="G234" s="90">
        <v>5000</v>
      </c>
      <c r="H234" s="90">
        <v>5000</v>
      </c>
    </row>
    <row r="235" spans="1:8" ht="18" customHeight="1" x14ac:dyDescent="0.25">
      <c r="A235" s="103">
        <f t="shared" si="23"/>
        <v>234</v>
      </c>
      <c r="B235" s="167" t="s">
        <v>290</v>
      </c>
      <c r="C235" s="89">
        <v>5800</v>
      </c>
      <c r="D235" s="89">
        <v>5800</v>
      </c>
      <c r="E235" s="89">
        <v>2500</v>
      </c>
      <c r="F235" s="89">
        <v>2500</v>
      </c>
      <c r="G235" s="89">
        <v>0</v>
      </c>
      <c r="H235" s="89">
        <v>0</v>
      </c>
    </row>
    <row r="236" spans="1:8" ht="18" customHeight="1" x14ac:dyDescent="0.25">
      <c r="A236" s="103">
        <f t="shared" si="23"/>
        <v>235</v>
      </c>
      <c r="B236" s="91" t="s">
        <v>326</v>
      </c>
      <c r="C236" s="195">
        <v>0</v>
      </c>
      <c r="D236" s="195">
        <v>10000</v>
      </c>
      <c r="E236" s="195">
        <v>0</v>
      </c>
      <c r="F236" s="195">
        <v>0</v>
      </c>
      <c r="G236" s="195">
        <v>0</v>
      </c>
      <c r="H236" s="195">
        <v>0</v>
      </c>
    </row>
    <row r="237" spans="1:8" ht="18" customHeight="1" x14ac:dyDescent="0.25">
      <c r="A237" s="103">
        <f t="shared" si="23"/>
        <v>236</v>
      </c>
      <c r="B237" s="114" t="s">
        <v>345</v>
      </c>
      <c r="C237" s="89">
        <v>10500</v>
      </c>
      <c r="D237" s="89">
        <v>10000</v>
      </c>
      <c r="E237" s="89">
        <v>10000</v>
      </c>
      <c r="F237" s="89">
        <v>10000</v>
      </c>
      <c r="G237" s="89">
        <v>10000</v>
      </c>
      <c r="H237" s="89">
        <v>0</v>
      </c>
    </row>
    <row r="238" spans="1:8" ht="18" customHeight="1" x14ac:dyDescent="0.25">
      <c r="A238" s="103">
        <f t="shared" si="23"/>
        <v>237</v>
      </c>
      <c r="B238" s="100" t="s">
        <v>292</v>
      </c>
      <c r="C238" s="117">
        <f t="shared" ref="C238:H238" si="29">SUM(C234:C237)</f>
        <v>16300</v>
      </c>
      <c r="D238" s="117">
        <f t="shared" si="29"/>
        <v>25800</v>
      </c>
      <c r="E238" s="117">
        <f t="shared" si="29"/>
        <v>17500</v>
      </c>
      <c r="F238" s="117">
        <f t="shared" si="29"/>
        <v>17500</v>
      </c>
      <c r="G238" s="117">
        <f t="shared" si="29"/>
        <v>15000</v>
      </c>
      <c r="H238" s="117">
        <f t="shared" si="29"/>
        <v>5000</v>
      </c>
    </row>
    <row r="239" spans="1:8" ht="18" customHeight="1" x14ac:dyDescent="0.25">
      <c r="A239" s="103">
        <f t="shared" si="23"/>
        <v>238</v>
      </c>
      <c r="B239" s="184" t="s">
        <v>346</v>
      </c>
      <c r="C239" s="105"/>
      <c r="D239" s="105"/>
      <c r="E239" s="105"/>
      <c r="F239" s="105"/>
      <c r="G239" s="105"/>
      <c r="H239" s="89"/>
    </row>
    <row r="240" spans="1:8" ht="18" customHeight="1" x14ac:dyDescent="0.25">
      <c r="A240" s="103">
        <f t="shared" si="23"/>
        <v>239</v>
      </c>
      <c r="B240" s="185" t="s">
        <v>333</v>
      </c>
      <c r="C240" s="105"/>
      <c r="D240" s="105"/>
      <c r="E240" s="105"/>
      <c r="F240" s="105"/>
      <c r="G240" s="105"/>
      <c r="H240" s="89"/>
    </row>
    <row r="241" spans="1:8" ht="18" customHeight="1" x14ac:dyDescent="0.25">
      <c r="A241" s="103">
        <f t="shared" si="23"/>
        <v>240</v>
      </c>
      <c r="B241" s="184"/>
      <c r="C241" s="105"/>
      <c r="D241" s="105"/>
      <c r="E241" s="105"/>
      <c r="F241" s="105"/>
      <c r="G241" s="105"/>
      <c r="H241" s="89"/>
    </row>
    <row r="242" spans="1:8" ht="18" customHeight="1" x14ac:dyDescent="0.25">
      <c r="A242" s="103">
        <f t="shared" si="23"/>
        <v>241</v>
      </c>
      <c r="B242" s="100" t="s">
        <v>308</v>
      </c>
      <c r="C242" s="117">
        <f t="shared" ref="C242:H242" si="30">C82+C91+C101+C119+C136+C141+C148+C157+C165+C176+C208+C215+C220+C225+C231+C238</f>
        <v>509370.74</v>
      </c>
      <c r="D242" s="117">
        <f t="shared" si="30"/>
        <v>441137</v>
      </c>
      <c r="E242" s="117">
        <f t="shared" si="30"/>
        <v>397199.55999999994</v>
      </c>
      <c r="F242" s="117">
        <f t="shared" si="30"/>
        <v>406882</v>
      </c>
      <c r="G242" s="117">
        <f t="shared" si="30"/>
        <v>366369.91000000003</v>
      </c>
      <c r="H242" s="117">
        <f t="shared" si="30"/>
        <v>405492</v>
      </c>
    </row>
    <row r="243" spans="1:8" ht="18" customHeight="1" x14ac:dyDescent="0.25">
      <c r="A243" s="103">
        <f t="shared" si="23"/>
        <v>242</v>
      </c>
      <c r="B243" s="184"/>
      <c r="C243" s="105"/>
      <c r="D243" s="105"/>
      <c r="E243" s="105"/>
      <c r="F243" s="105"/>
      <c r="G243" s="105"/>
      <c r="H243" s="120"/>
    </row>
    <row r="244" spans="1:8" ht="18" customHeight="1" x14ac:dyDescent="0.25">
      <c r="A244" s="103">
        <f t="shared" si="23"/>
        <v>243</v>
      </c>
      <c r="B244" s="104" t="s">
        <v>202</v>
      </c>
      <c r="C244" s="105"/>
      <c r="D244" s="105"/>
      <c r="E244" s="105"/>
      <c r="F244" s="105"/>
      <c r="G244" s="105"/>
      <c r="H244" s="120"/>
    </row>
    <row r="245" spans="1:8" ht="18" customHeight="1" x14ac:dyDescent="0.25">
      <c r="A245" s="103">
        <f t="shared" si="23"/>
        <v>244</v>
      </c>
      <c r="B245" s="104"/>
      <c r="C245" s="105"/>
      <c r="D245" s="105"/>
      <c r="E245" s="105"/>
      <c r="F245" s="105"/>
      <c r="G245" s="105"/>
      <c r="H245" s="120"/>
    </row>
    <row r="246" spans="1:8" ht="18" customHeight="1" x14ac:dyDescent="0.25">
      <c r="A246" s="103">
        <f t="shared" si="23"/>
        <v>245</v>
      </c>
      <c r="B246" s="109" t="s">
        <v>144</v>
      </c>
      <c r="C246" s="105"/>
      <c r="D246" s="105"/>
      <c r="E246" s="105"/>
      <c r="F246" s="105"/>
      <c r="G246" s="105"/>
      <c r="H246" s="89"/>
    </row>
    <row r="247" spans="1:8" ht="18" customHeight="1" x14ac:dyDescent="0.25">
      <c r="A247" s="103">
        <f t="shared" si="23"/>
        <v>246</v>
      </c>
      <c r="B247" s="158" t="s">
        <v>145</v>
      </c>
      <c r="C247" s="186"/>
      <c r="D247" s="186"/>
      <c r="E247" s="186"/>
      <c r="F247" s="186"/>
      <c r="G247" s="186"/>
      <c r="H247" s="90"/>
    </row>
    <row r="248" spans="1:8" ht="18" customHeight="1" x14ac:dyDescent="0.25">
      <c r="A248" s="103">
        <f t="shared" si="23"/>
        <v>247</v>
      </c>
      <c r="B248" s="187" t="s">
        <v>146</v>
      </c>
      <c r="C248" s="188">
        <v>42500</v>
      </c>
      <c r="D248" s="188">
        <v>41500</v>
      </c>
      <c r="E248" s="188">
        <v>41500</v>
      </c>
      <c r="F248" s="188">
        <v>41500</v>
      </c>
      <c r="G248" s="188">
        <v>41500</v>
      </c>
      <c r="H248" s="188">
        <v>41500</v>
      </c>
    </row>
    <row r="249" spans="1:8" ht="18" customHeight="1" x14ac:dyDescent="0.25">
      <c r="A249" s="103">
        <f t="shared" si="23"/>
        <v>248</v>
      </c>
      <c r="B249" s="112" t="s">
        <v>147</v>
      </c>
      <c r="C249" s="89">
        <v>12500</v>
      </c>
      <c r="D249" s="89">
        <v>12000</v>
      </c>
      <c r="E249" s="89">
        <v>12000</v>
      </c>
      <c r="F249" s="89">
        <v>12000</v>
      </c>
      <c r="G249" s="89">
        <v>12000</v>
      </c>
      <c r="H249" s="89">
        <v>12000</v>
      </c>
    </row>
    <row r="250" spans="1:8" ht="18" customHeight="1" x14ac:dyDescent="0.25">
      <c r="A250" s="103">
        <f t="shared" si="23"/>
        <v>249</v>
      </c>
      <c r="B250" s="91" t="s">
        <v>327</v>
      </c>
      <c r="C250" s="89">
        <v>0</v>
      </c>
      <c r="D250" s="89">
        <v>60000</v>
      </c>
      <c r="E250" s="89">
        <v>0</v>
      </c>
      <c r="F250" s="89">
        <v>0</v>
      </c>
      <c r="G250" s="89">
        <v>0</v>
      </c>
      <c r="H250" s="89">
        <v>0</v>
      </c>
    </row>
    <row r="251" spans="1:8" ht="18" customHeight="1" x14ac:dyDescent="0.25">
      <c r="A251" s="103">
        <f t="shared" si="23"/>
        <v>250</v>
      </c>
      <c r="B251" s="209"/>
      <c r="C251" s="89"/>
      <c r="D251" s="89"/>
      <c r="E251" s="89"/>
      <c r="F251" s="89"/>
      <c r="G251" s="89"/>
      <c r="H251" s="89"/>
    </row>
    <row r="252" spans="1:8" ht="18" customHeight="1" x14ac:dyDescent="0.25">
      <c r="A252" s="103">
        <f t="shared" si="23"/>
        <v>251</v>
      </c>
      <c r="B252" s="189" t="s">
        <v>148</v>
      </c>
      <c r="C252" s="89"/>
      <c r="D252" s="89"/>
      <c r="E252" s="89"/>
      <c r="F252" s="89"/>
      <c r="G252" s="89"/>
      <c r="H252" s="89"/>
    </row>
    <row r="253" spans="1:8" ht="18" customHeight="1" x14ac:dyDescent="0.25">
      <c r="A253" s="103">
        <f t="shared" si="23"/>
        <v>252</v>
      </c>
      <c r="B253" s="187" t="s">
        <v>149</v>
      </c>
      <c r="C253" s="190">
        <v>3950</v>
      </c>
      <c r="D253" s="190">
        <v>3950</v>
      </c>
      <c r="E253" s="190">
        <v>3950</v>
      </c>
      <c r="F253" s="190">
        <v>3950</v>
      </c>
      <c r="G253" s="190">
        <v>3950</v>
      </c>
      <c r="H253" s="190">
        <v>3950</v>
      </c>
    </row>
    <row r="254" spans="1:8" ht="18" customHeight="1" x14ac:dyDescent="0.25">
      <c r="A254" s="103">
        <f t="shared" si="23"/>
        <v>253</v>
      </c>
      <c r="B254" s="112" t="s">
        <v>150</v>
      </c>
      <c r="C254" s="182">
        <v>3800</v>
      </c>
      <c r="D254" s="182">
        <v>3800</v>
      </c>
      <c r="E254" s="182">
        <v>3800</v>
      </c>
      <c r="F254" s="182">
        <v>3800</v>
      </c>
      <c r="G254" s="182">
        <v>3800</v>
      </c>
      <c r="H254" s="182">
        <v>3800</v>
      </c>
    </row>
    <row r="255" spans="1:8" ht="18" customHeight="1" x14ac:dyDescent="0.25">
      <c r="A255" s="103">
        <f t="shared" si="23"/>
        <v>254</v>
      </c>
      <c r="B255" s="112" t="s">
        <v>151</v>
      </c>
      <c r="C255" s="182">
        <v>0</v>
      </c>
      <c r="D255" s="182">
        <v>0</v>
      </c>
      <c r="E255" s="182">
        <v>300</v>
      </c>
      <c r="F255" s="182">
        <v>300</v>
      </c>
      <c r="G255" s="182">
        <v>300</v>
      </c>
      <c r="H255" s="182">
        <v>300</v>
      </c>
    </row>
    <row r="256" spans="1:8" ht="18" customHeight="1" x14ac:dyDescent="0.25">
      <c r="A256" s="103">
        <f t="shared" si="23"/>
        <v>255</v>
      </c>
      <c r="B256" s="112" t="s">
        <v>152</v>
      </c>
      <c r="C256" s="182">
        <v>979</v>
      </c>
      <c r="D256" s="182">
        <v>979</v>
      </c>
      <c r="E256" s="182">
        <v>979</v>
      </c>
      <c r="F256" s="182">
        <v>979</v>
      </c>
      <c r="G256" s="182">
        <v>979</v>
      </c>
      <c r="H256" s="182">
        <v>979</v>
      </c>
    </row>
    <row r="257" spans="1:8" ht="18" customHeight="1" x14ac:dyDescent="0.25">
      <c r="A257" s="103">
        <f t="shared" si="23"/>
        <v>256</v>
      </c>
      <c r="B257" s="191" t="s">
        <v>286</v>
      </c>
      <c r="C257" s="182">
        <v>2500</v>
      </c>
      <c r="D257" s="182">
        <v>2500</v>
      </c>
      <c r="E257" s="182">
        <v>2500</v>
      </c>
      <c r="F257" s="182">
        <v>2500</v>
      </c>
      <c r="G257" s="182">
        <v>2500</v>
      </c>
      <c r="H257" s="182">
        <v>2500</v>
      </c>
    </row>
    <row r="258" spans="1:8" ht="18" customHeight="1" x14ac:dyDescent="0.25">
      <c r="A258" s="103">
        <f t="shared" si="23"/>
        <v>257</v>
      </c>
      <c r="B258" s="112" t="s">
        <v>153</v>
      </c>
      <c r="C258" s="182">
        <v>750</v>
      </c>
      <c r="D258" s="182">
        <v>750</v>
      </c>
      <c r="E258" s="182">
        <v>750</v>
      </c>
      <c r="F258" s="182">
        <v>750</v>
      </c>
      <c r="G258" s="182">
        <v>750</v>
      </c>
      <c r="H258" s="182">
        <v>750</v>
      </c>
    </row>
    <row r="259" spans="1:8" ht="18" customHeight="1" x14ac:dyDescent="0.25">
      <c r="A259" s="103">
        <f t="shared" ref="A259:A273" si="31">A258+1</f>
        <v>258</v>
      </c>
      <c r="B259" s="112" t="s">
        <v>154</v>
      </c>
      <c r="C259" s="182">
        <v>900</v>
      </c>
      <c r="D259" s="182">
        <v>900</v>
      </c>
      <c r="E259" s="182">
        <v>900</v>
      </c>
      <c r="F259" s="182">
        <v>900</v>
      </c>
      <c r="G259" s="182">
        <v>900</v>
      </c>
      <c r="H259" s="182">
        <v>900</v>
      </c>
    </row>
    <row r="260" spans="1:8" ht="18" customHeight="1" x14ac:dyDescent="0.25">
      <c r="A260" s="103">
        <f t="shared" si="31"/>
        <v>259</v>
      </c>
      <c r="B260" s="112" t="s">
        <v>155</v>
      </c>
      <c r="C260" s="182">
        <v>400</v>
      </c>
      <c r="D260" s="182">
        <v>400</v>
      </c>
      <c r="E260" s="182">
        <v>400</v>
      </c>
      <c r="F260" s="182">
        <v>400</v>
      </c>
      <c r="G260" s="182">
        <v>400</v>
      </c>
      <c r="H260" s="182">
        <v>400</v>
      </c>
    </row>
    <row r="261" spans="1:8" ht="18" customHeight="1" x14ac:dyDescent="0.25">
      <c r="A261" s="103">
        <f t="shared" si="31"/>
        <v>260</v>
      </c>
      <c r="B261" s="112" t="s">
        <v>156</v>
      </c>
      <c r="C261" s="182">
        <v>2500</v>
      </c>
      <c r="D261" s="182">
        <v>2500</v>
      </c>
      <c r="E261" s="182">
        <v>2500</v>
      </c>
      <c r="F261" s="182">
        <v>2500</v>
      </c>
      <c r="G261" s="182">
        <v>2500</v>
      </c>
      <c r="H261" s="182">
        <v>2500</v>
      </c>
    </row>
    <row r="262" spans="1:8" ht="18" customHeight="1" x14ac:dyDescent="0.25">
      <c r="A262" s="103">
        <f t="shared" si="31"/>
        <v>261</v>
      </c>
      <c r="B262" s="130" t="s">
        <v>329</v>
      </c>
      <c r="C262" s="182">
        <v>50</v>
      </c>
      <c r="D262" s="182">
        <v>50</v>
      </c>
      <c r="E262" s="182">
        <v>0</v>
      </c>
      <c r="F262" s="182">
        <v>0</v>
      </c>
      <c r="G262" s="182">
        <v>0</v>
      </c>
      <c r="H262" s="182">
        <v>0</v>
      </c>
    </row>
    <row r="263" spans="1:8" ht="18" customHeight="1" x14ac:dyDescent="0.25">
      <c r="A263" s="103">
        <f t="shared" si="31"/>
        <v>262</v>
      </c>
      <c r="B263" s="100" t="s">
        <v>157</v>
      </c>
      <c r="C263" s="117">
        <f>SUM(C248:C251)+SUM(C253:C262)</f>
        <v>70829</v>
      </c>
      <c r="D263" s="117">
        <f>SUM(D248:D251)+SUM(D253:D262)</f>
        <v>129329</v>
      </c>
      <c r="E263" s="117">
        <f t="shared" ref="E263:H263" si="32">SUM(E248:E250)+SUM(E253:E262)</f>
        <v>69579</v>
      </c>
      <c r="F263" s="117">
        <f t="shared" si="32"/>
        <v>69579</v>
      </c>
      <c r="G263" s="117">
        <f t="shared" si="32"/>
        <v>69579</v>
      </c>
      <c r="H263" s="117">
        <f t="shared" si="32"/>
        <v>69579</v>
      </c>
    </row>
    <row r="264" spans="1:8" ht="18" customHeight="1" x14ac:dyDescent="0.25">
      <c r="A264" s="103">
        <f t="shared" si="31"/>
        <v>263</v>
      </c>
      <c r="B264" s="112"/>
      <c r="C264" s="105"/>
      <c r="D264" s="105"/>
      <c r="E264" s="105"/>
      <c r="F264" s="105"/>
      <c r="G264" s="105"/>
      <c r="H264" s="89"/>
    </row>
    <row r="265" spans="1:8" ht="30" customHeight="1" x14ac:dyDescent="0.25">
      <c r="A265" s="103">
        <f t="shared" si="31"/>
        <v>264</v>
      </c>
      <c r="B265" s="144" t="s">
        <v>203</v>
      </c>
      <c r="C265" s="145">
        <f t="shared" ref="C265:H265" si="33">C242+C263</f>
        <v>580199.74</v>
      </c>
      <c r="D265" s="145">
        <f t="shared" si="33"/>
        <v>570466</v>
      </c>
      <c r="E265" s="145">
        <f t="shared" si="33"/>
        <v>466778.55999999994</v>
      </c>
      <c r="F265" s="145">
        <f t="shared" si="33"/>
        <v>476461</v>
      </c>
      <c r="G265" s="145">
        <f t="shared" si="33"/>
        <v>435948.91000000003</v>
      </c>
      <c r="H265" s="145">
        <f t="shared" si="33"/>
        <v>475071</v>
      </c>
    </row>
    <row r="266" spans="1:8" ht="18" customHeight="1" x14ac:dyDescent="0.25">
      <c r="A266" s="103">
        <f t="shared" si="31"/>
        <v>265</v>
      </c>
      <c r="B266" s="112"/>
      <c r="C266" s="105"/>
      <c r="D266" s="105"/>
      <c r="E266" s="105"/>
      <c r="F266" s="105"/>
      <c r="G266" s="105"/>
      <c r="H266" s="89"/>
    </row>
    <row r="267" spans="1:8" ht="30" customHeight="1" x14ac:dyDescent="0.25">
      <c r="A267" s="103">
        <f t="shared" si="31"/>
        <v>266</v>
      </c>
      <c r="B267" s="144" t="s">
        <v>223</v>
      </c>
      <c r="C267" s="145">
        <f t="shared" ref="C267:H267" si="34">C71-C265</f>
        <v>-145375.08136311965</v>
      </c>
      <c r="D267" s="145">
        <f t="shared" si="34"/>
        <v>-121766.7577281337</v>
      </c>
      <c r="E267" s="145">
        <f t="shared" si="34"/>
        <v>197236.30000000005</v>
      </c>
      <c r="F267" s="145">
        <f t="shared" si="34"/>
        <v>-44955.799999999814</v>
      </c>
      <c r="G267" s="145">
        <f t="shared" si="34"/>
        <v>35385.869999999821</v>
      </c>
      <c r="H267" s="145">
        <f t="shared" si="34"/>
        <v>-86380.590000000026</v>
      </c>
    </row>
    <row r="268" spans="1:8" ht="18" customHeight="1" x14ac:dyDescent="0.25">
      <c r="A268" s="103">
        <f t="shared" si="31"/>
        <v>267</v>
      </c>
      <c r="B268" s="109"/>
      <c r="C268" s="105"/>
      <c r="D268" s="105"/>
      <c r="E268" s="105"/>
      <c r="F268" s="105"/>
      <c r="G268" s="105"/>
      <c r="H268" s="120"/>
    </row>
    <row r="269" spans="1:8" ht="18" customHeight="1" x14ac:dyDescent="0.25">
      <c r="A269" s="103">
        <f t="shared" si="31"/>
        <v>268</v>
      </c>
      <c r="B269" s="147" t="s">
        <v>283</v>
      </c>
      <c r="C269" s="196">
        <f>D270</f>
        <v>242291.80227186601</v>
      </c>
      <c r="D269" s="197">
        <f>E270</f>
        <v>364058.55999999971</v>
      </c>
      <c r="E269" s="150">
        <f>G270</f>
        <v>166822.25999999969</v>
      </c>
      <c r="F269" s="197">
        <f>G270</f>
        <v>166822.25999999969</v>
      </c>
      <c r="G269" s="150">
        <v>131436.38999999987</v>
      </c>
      <c r="H269" s="150"/>
    </row>
    <row r="270" spans="1:8" ht="18" customHeight="1" x14ac:dyDescent="0.25">
      <c r="A270" s="103">
        <f t="shared" si="31"/>
        <v>269</v>
      </c>
      <c r="B270" s="104" t="s">
        <v>285</v>
      </c>
      <c r="C270" s="153">
        <f>C269+C267</f>
        <v>96916.720908746356</v>
      </c>
      <c r="D270" s="153">
        <f>D269+D267</f>
        <v>242291.80227186601</v>
      </c>
      <c r="E270" s="155">
        <f>E269+E267</f>
        <v>364058.55999999971</v>
      </c>
      <c r="F270" s="153">
        <f>F269+F267</f>
        <v>121866.45999999988</v>
      </c>
      <c r="G270" s="155">
        <f>G269+G267</f>
        <v>166822.25999999969</v>
      </c>
      <c r="H270" s="155"/>
    </row>
    <row r="271" spans="1:8" ht="18" customHeight="1" x14ac:dyDescent="0.25">
      <c r="A271" s="103">
        <f t="shared" si="31"/>
        <v>270</v>
      </c>
      <c r="B271" s="158" t="s">
        <v>284</v>
      </c>
      <c r="C271" s="47">
        <f>C270-C269</f>
        <v>-145375.08136311965</v>
      </c>
      <c r="D271" s="47">
        <f>D270-D269</f>
        <v>-121766.7577281337</v>
      </c>
      <c r="E271" s="71">
        <f>E270-E269</f>
        <v>197236.30000000002</v>
      </c>
      <c r="F271" s="47">
        <f>F270-F269</f>
        <v>-44955.799999999814</v>
      </c>
      <c r="G271" s="71">
        <f>G270-G269</f>
        <v>35385.869999999821</v>
      </c>
      <c r="H271" s="71"/>
    </row>
    <row r="272" spans="1:8" ht="18" customHeight="1" x14ac:dyDescent="0.25">
      <c r="A272" s="103">
        <f t="shared" si="31"/>
        <v>271</v>
      </c>
      <c r="B272" s="160"/>
      <c r="C272" s="105"/>
      <c r="D272" s="105"/>
      <c r="E272" s="105"/>
      <c r="F272" s="89"/>
      <c r="G272" s="105"/>
      <c r="H272" s="89"/>
    </row>
    <row r="273" spans="1:8" ht="45" customHeight="1" x14ac:dyDescent="0.25">
      <c r="A273" s="103">
        <f t="shared" si="31"/>
        <v>272</v>
      </c>
      <c r="B273" s="213" t="str">
        <f>CONCATENATE(B274,ROW(C267)-1,B275)</f>
        <v>* $121,767 of the FY 2021 ending General Fund Balance was assigned to reduce taxes to be raised in FY 2023.  As a result, the unassigned FY 2022 ending General Fund Balance was $242,292, of which $145,375 is proposed to be used to reduce taxes to be raised in FY 2024.  See Line 266.  See also Warning Article 15.</v>
      </c>
      <c r="C273" s="214"/>
      <c r="D273" s="214"/>
      <c r="E273" s="214"/>
      <c r="F273" s="214"/>
      <c r="G273" s="214"/>
      <c r="H273" s="214"/>
    </row>
    <row r="274" spans="1:8" ht="18" customHeight="1" x14ac:dyDescent="0.25">
      <c r="B274" s="49" t="s">
        <v>379</v>
      </c>
      <c r="C274" s="2"/>
      <c r="D274" s="2"/>
    </row>
    <row r="275" spans="1:8" ht="18" customHeight="1" x14ac:dyDescent="0.25">
      <c r="B275" s="49" t="s">
        <v>380</v>
      </c>
    </row>
    <row r="276" spans="1:8" ht="18" customHeight="1" x14ac:dyDescent="0.25"/>
    <row r="277" spans="1:8" ht="18" customHeight="1" x14ac:dyDescent="0.25"/>
    <row r="278" spans="1:8" ht="18" customHeight="1" x14ac:dyDescent="0.25"/>
    <row r="279" spans="1:8" ht="18" customHeight="1" x14ac:dyDescent="0.25"/>
    <row r="280" spans="1:8" ht="18" customHeight="1" x14ac:dyDescent="0.25"/>
  </sheetData>
  <mergeCells count="1">
    <mergeCell ref="B273:H273"/>
  </mergeCells>
  <phoneticPr fontId="32" type="noConversion"/>
  <printOptions horizontalCentered="1"/>
  <pageMargins left="0.5" right="0.5" top="1.2" bottom="0.5" header="0.3" footer="0.3"/>
  <pageSetup scale="74" fitToHeight="0" orientation="portrait" r:id="rId1"/>
  <headerFooter>
    <oddHeader>&amp;C&amp;"-,Bold"&amp;13Town of Pomfret&amp;"-,Regular"&amp;12
&amp;11General Account Detail&amp;R&amp;11As approved January 18, 2023</oddHeader>
    <oddFooter>&amp;R&amp;11Page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1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.75" x14ac:dyDescent="0.25"/>
  <cols>
    <col min="1" max="1" width="4.625" style="13" customWidth="1"/>
    <col min="2" max="2" width="37.5" style="2" customWidth="1"/>
    <col min="3" max="3" width="12.5" customWidth="1"/>
    <col min="4" max="4" width="12.5" style="73" customWidth="1"/>
    <col min="5" max="8" width="12.5" style="1" customWidth="1"/>
    <col min="9" max="239" width="11" style="2" customWidth="1"/>
    <col min="240" max="16384" width="9" style="2"/>
  </cols>
  <sheetData>
    <row r="1" spans="1:9" ht="18" customHeight="1" x14ac:dyDescent="0.25">
      <c r="A1" s="92"/>
      <c r="B1" s="93" t="s">
        <v>256</v>
      </c>
      <c r="C1" s="94" t="s">
        <v>257</v>
      </c>
      <c r="D1" s="95" t="s">
        <v>258</v>
      </c>
      <c r="E1" s="96" t="s">
        <v>261</v>
      </c>
      <c r="F1" s="97" t="s">
        <v>262</v>
      </c>
      <c r="G1" s="98" t="s">
        <v>263</v>
      </c>
      <c r="H1" s="98" t="s">
        <v>264</v>
      </c>
    </row>
    <row r="2" spans="1:9" ht="45" x14ac:dyDescent="0.25">
      <c r="A2" s="99">
        <v>1</v>
      </c>
      <c r="B2" s="100"/>
      <c r="C2" s="101" t="s">
        <v>334</v>
      </c>
      <c r="D2" s="102" t="s">
        <v>335</v>
      </c>
      <c r="E2" s="101" t="s">
        <v>336</v>
      </c>
      <c r="F2" s="101" t="s">
        <v>306</v>
      </c>
      <c r="G2" s="101" t="s">
        <v>307</v>
      </c>
      <c r="H2" s="101" t="s">
        <v>294</v>
      </c>
    </row>
    <row r="3" spans="1:9" ht="18" customHeight="1" x14ac:dyDescent="0.25">
      <c r="A3" s="103">
        <f>A2+1</f>
        <v>2</v>
      </c>
      <c r="B3" s="104" t="s">
        <v>236</v>
      </c>
      <c r="C3" s="105"/>
      <c r="D3" s="106"/>
      <c r="E3" s="105"/>
      <c r="F3" s="105"/>
      <c r="G3" s="105"/>
      <c r="H3" s="107"/>
    </row>
    <row r="4" spans="1:9" ht="18" customHeight="1" x14ac:dyDescent="0.25">
      <c r="A4" s="103">
        <f t="shared" ref="A4:A75" si="0">A3+1</f>
        <v>3</v>
      </c>
      <c r="B4" s="108"/>
      <c r="C4" s="105"/>
      <c r="D4" s="106"/>
      <c r="E4" s="105"/>
      <c r="F4" s="105"/>
      <c r="G4" s="105"/>
      <c r="H4" s="107"/>
    </row>
    <row r="5" spans="1:9" ht="18" customHeight="1" x14ac:dyDescent="0.3">
      <c r="A5" s="103">
        <f t="shared" si="0"/>
        <v>4</v>
      </c>
      <c r="B5" s="109" t="s">
        <v>204</v>
      </c>
      <c r="C5" s="75"/>
      <c r="D5" s="106"/>
      <c r="E5" s="105"/>
      <c r="F5" s="105"/>
      <c r="G5" s="105"/>
      <c r="H5" s="89"/>
    </row>
    <row r="6" spans="1:9" ht="18" customHeight="1" x14ac:dyDescent="0.25">
      <c r="A6" s="103">
        <f t="shared" si="0"/>
        <v>5</v>
      </c>
      <c r="B6" s="110" t="s">
        <v>288</v>
      </c>
      <c r="C6" s="90">
        <f>C109-SUM(C7:C17)-D114+N("Total Highway Expenditures MINUS Total Highway Non-Tax Revenues MINUS FY 2022 year-end unassigned fund balance")</f>
        <v>1059359.6707575484</v>
      </c>
      <c r="D6" s="111">
        <v>959512.87</v>
      </c>
      <c r="E6" s="90">
        <v>841365</v>
      </c>
      <c r="F6" s="90">
        <v>841365.2200000002</v>
      </c>
      <c r="G6" s="90">
        <v>856341</v>
      </c>
      <c r="H6" s="90">
        <v>856340.78</v>
      </c>
    </row>
    <row r="7" spans="1:9" ht="18" customHeight="1" x14ac:dyDescent="0.25">
      <c r="A7" s="103">
        <f t="shared" si="0"/>
        <v>6</v>
      </c>
      <c r="B7" s="112" t="s">
        <v>199</v>
      </c>
      <c r="C7" s="89">
        <v>142163.10999999999</v>
      </c>
      <c r="D7" s="113">
        <v>132500</v>
      </c>
      <c r="E7" s="89">
        <v>138414.78</v>
      </c>
      <c r="F7" s="89">
        <v>132500</v>
      </c>
      <c r="G7" s="89">
        <v>138418.84</v>
      </c>
      <c r="H7" s="89">
        <v>132500</v>
      </c>
    </row>
    <row r="8" spans="1:9" ht="18" customHeight="1" x14ac:dyDescent="0.25">
      <c r="A8" s="103">
        <f t="shared" si="0"/>
        <v>7</v>
      </c>
      <c r="B8" s="112" t="s">
        <v>275</v>
      </c>
      <c r="C8" s="89">
        <v>0</v>
      </c>
      <c r="D8" s="113">
        <v>0</v>
      </c>
      <c r="E8" s="89">
        <v>0</v>
      </c>
      <c r="F8" s="89">
        <v>0</v>
      </c>
      <c r="G8" s="89">
        <v>64722.82</v>
      </c>
      <c r="H8" s="89">
        <v>60000</v>
      </c>
    </row>
    <row r="9" spans="1:9" ht="18" customHeight="1" x14ac:dyDescent="0.25">
      <c r="A9" s="103">
        <f t="shared" si="0"/>
        <v>8</v>
      </c>
      <c r="B9" s="114" t="s">
        <v>347</v>
      </c>
      <c r="C9" s="89">
        <v>0</v>
      </c>
      <c r="D9" s="113">
        <v>0</v>
      </c>
      <c r="E9" s="89">
        <v>15319.4</v>
      </c>
      <c r="F9" s="89">
        <v>0</v>
      </c>
      <c r="G9" s="89">
        <v>0</v>
      </c>
      <c r="H9" s="89">
        <v>0</v>
      </c>
    </row>
    <row r="10" spans="1:9" ht="18" customHeight="1" x14ac:dyDescent="0.25">
      <c r="A10" s="103">
        <f t="shared" si="0"/>
        <v>9</v>
      </c>
      <c r="B10" s="114" t="s">
        <v>348</v>
      </c>
      <c r="C10" s="89">
        <v>0</v>
      </c>
      <c r="D10" s="113">
        <v>0</v>
      </c>
      <c r="E10" s="89">
        <v>22446.560000000001</v>
      </c>
      <c r="F10" s="89">
        <v>0</v>
      </c>
      <c r="G10" s="89">
        <v>0</v>
      </c>
      <c r="H10" s="89">
        <v>0</v>
      </c>
    </row>
    <row r="11" spans="1:9" ht="18" customHeight="1" x14ac:dyDescent="0.25">
      <c r="A11" s="103">
        <f t="shared" si="0"/>
        <v>10</v>
      </c>
      <c r="B11" s="114" t="s">
        <v>349</v>
      </c>
      <c r="C11" s="89">
        <v>0</v>
      </c>
      <c r="D11" s="113">
        <v>0</v>
      </c>
      <c r="E11" s="89">
        <v>1000</v>
      </c>
      <c r="F11" s="89">
        <v>0</v>
      </c>
      <c r="G11" s="89">
        <v>0</v>
      </c>
      <c r="H11" s="89">
        <v>0</v>
      </c>
      <c r="I11" s="72"/>
    </row>
    <row r="12" spans="1:9" ht="18" customHeight="1" x14ac:dyDescent="0.25">
      <c r="A12" s="103">
        <f t="shared" si="0"/>
        <v>11</v>
      </c>
      <c r="B12" s="115" t="s">
        <v>303</v>
      </c>
      <c r="C12" s="89">
        <v>35500</v>
      </c>
      <c r="D12" s="113">
        <v>18900</v>
      </c>
      <c r="E12" s="89">
        <v>0</v>
      </c>
      <c r="F12" s="89">
        <v>18900</v>
      </c>
      <c r="G12" s="89">
        <v>0</v>
      </c>
      <c r="H12" s="89">
        <v>0</v>
      </c>
    </row>
    <row r="13" spans="1:9" ht="18" customHeight="1" x14ac:dyDescent="0.25">
      <c r="A13" s="103">
        <f t="shared" si="0"/>
        <v>12</v>
      </c>
      <c r="B13" s="116" t="s">
        <v>316</v>
      </c>
      <c r="C13" s="89">
        <v>0</v>
      </c>
      <c r="D13" s="113">
        <v>0</v>
      </c>
      <c r="E13" s="89">
        <v>0</v>
      </c>
      <c r="F13" s="89">
        <v>0</v>
      </c>
      <c r="G13" s="89">
        <v>5206.0600000000004</v>
      </c>
      <c r="H13" s="89">
        <v>0</v>
      </c>
    </row>
    <row r="14" spans="1:9" ht="18" customHeight="1" x14ac:dyDescent="0.25">
      <c r="A14" s="103">
        <f t="shared" si="0"/>
        <v>13</v>
      </c>
      <c r="B14" s="116" t="s">
        <v>317</v>
      </c>
      <c r="C14" s="89">
        <v>0</v>
      </c>
      <c r="D14" s="113">
        <v>0</v>
      </c>
      <c r="E14" s="89">
        <v>0</v>
      </c>
      <c r="F14" s="89">
        <v>0</v>
      </c>
      <c r="G14" s="89">
        <v>35746.339999999997</v>
      </c>
      <c r="H14" s="89">
        <v>0</v>
      </c>
    </row>
    <row r="15" spans="1:9" ht="18" customHeight="1" x14ac:dyDescent="0.25">
      <c r="A15" s="103">
        <f t="shared" si="0"/>
        <v>14</v>
      </c>
      <c r="B15" s="116" t="s">
        <v>318</v>
      </c>
      <c r="C15" s="89">
        <v>0</v>
      </c>
      <c r="D15" s="113">
        <v>0</v>
      </c>
      <c r="E15" s="89">
        <v>0</v>
      </c>
      <c r="F15" s="89">
        <v>0</v>
      </c>
      <c r="G15" s="89">
        <v>20130</v>
      </c>
      <c r="H15" s="89">
        <v>0</v>
      </c>
    </row>
    <row r="16" spans="1:9" ht="18" customHeight="1" x14ac:dyDescent="0.25">
      <c r="A16" s="103">
        <f t="shared" si="0"/>
        <v>15</v>
      </c>
      <c r="B16" s="112" t="s">
        <v>198</v>
      </c>
      <c r="C16" s="89">
        <v>0</v>
      </c>
      <c r="D16" s="113">
        <v>0</v>
      </c>
      <c r="E16" s="89">
        <v>278.10000000000002</v>
      </c>
      <c r="F16" s="89">
        <v>0</v>
      </c>
      <c r="G16" s="89">
        <v>0</v>
      </c>
      <c r="H16" s="89">
        <v>0</v>
      </c>
    </row>
    <row r="17" spans="1:9" ht="18" customHeight="1" x14ac:dyDescent="0.25">
      <c r="A17" s="103">
        <f t="shared" si="0"/>
        <v>16</v>
      </c>
      <c r="B17" s="112" t="s">
        <v>197</v>
      </c>
      <c r="C17" s="89">
        <v>0</v>
      </c>
      <c r="D17" s="113">
        <v>0</v>
      </c>
      <c r="E17" s="89">
        <v>2772.87</v>
      </c>
      <c r="F17" s="89">
        <v>0</v>
      </c>
      <c r="G17" s="89">
        <v>12708.18</v>
      </c>
      <c r="H17" s="89">
        <v>0</v>
      </c>
    </row>
    <row r="18" spans="1:9" ht="18" customHeight="1" x14ac:dyDescent="0.25">
      <c r="A18" s="103">
        <f t="shared" si="0"/>
        <v>17</v>
      </c>
      <c r="B18" s="100" t="s">
        <v>237</v>
      </c>
      <c r="C18" s="117">
        <f t="shared" ref="C18:H18" si="1">SUM(C6:C17)</f>
        <v>1237022.7807575483</v>
      </c>
      <c r="D18" s="118">
        <f t="shared" si="1"/>
        <v>1110912.8700000001</v>
      </c>
      <c r="E18" s="117">
        <f t="shared" si="1"/>
        <v>1021596.7100000001</v>
      </c>
      <c r="F18" s="117">
        <f t="shared" si="1"/>
        <v>992765.2200000002</v>
      </c>
      <c r="G18" s="117">
        <f t="shared" si="1"/>
        <v>1133273.24</v>
      </c>
      <c r="H18" s="117">
        <f t="shared" si="1"/>
        <v>1048840.78</v>
      </c>
    </row>
    <row r="19" spans="1:9" ht="18" customHeight="1" x14ac:dyDescent="0.25">
      <c r="A19" s="103">
        <f t="shared" si="0"/>
        <v>18</v>
      </c>
      <c r="B19" s="119"/>
      <c r="C19" s="105"/>
      <c r="D19" s="106"/>
      <c r="E19" s="105"/>
      <c r="F19" s="105"/>
      <c r="G19" s="105"/>
      <c r="H19" s="120"/>
    </row>
    <row r="20" spans="1:9" ht="18" customHeight="1" x14ac:dyDescent="0.25">
      <c r="A20" s="103">
        <f t="shared" si="0"/>
        <v>19</v>
      </c>
      <c r="B20" s="104" t="s">
        <v>196</v>
      </c>
      <c r="C20" s="105"/>
      <c r="D20" s="106"/>
      <c r="E20" s="105"/>
      <c r="F20" s="105"/>
      <c r="G20" s="105"/>
      <c r="H20" s="120"/>
    </row>
    <row r="21" spans="1:9" ht="18" customHeight="1" x14ac:dyDescent="0.25">
      <c r="A21" s="103">
        <f t="shared" si="0"/>
        <v>20</v>
      </c>
      <c r="B21" s="119"/>
      <c r="C21" s="105"/>
      <c r="D21" s="106"/>
      <c r="E21" s="105"/>
      <c r="F21" s="105"/>
      <c r="G21" s="105"/>
      <c r="H21" s="120"/>
    </row>
    <row r="22" spans="1:9" ht="18" customHeight="1" x14ac:dyDescent="0.25">
      <c r="A22" s="103">
        <f t="shared" si="0"/>
        <v>21</v>
      </c>
      <c r="B22" s="109" t="s">
        <v>195</v>
      </c>
      <c r="C22" s="105"/>
      <c r="D22" s="106"/>
      <c r="E22" s="105"/>
      <c r="F22" s="105"/>
      <c r="G22" s="105"/>
      <c r="H22" s="89"/>
    </row>
    <row r="23" spans="1:9" ht="18" customHeight="1" x14ac:dyDescent="0.25">
      <c r="A23" s="103">
        <f t="shared" si="0"/>
        <v>22</v>
      </c>
      <c r="B23" s="121" t="s">
        <v>194</v>
      </c>
      <c r="C23" s="88">
        <v>280000</v>
      </c>
      <c r="D23" s="122">
        <f>192595+50000</f>
        <v>242595</v>
      </c>
      <c r="E23" s="90">
        <v>208415.8</v>
      </c>
      <c r="F23" s="90">
        <v>192595</v>
      </c>
      <c r="G23" s="90">
        <v>189375.89</v>
      </c>
      <c r="H23" s="123">
        <v>165000</v>
      </c>
    </row>
    <row r="24" spans="1:9" ht="18" customHeight="1" x14ac:dyDescent="0.25">
      <c r="A24" s="103">
        <f t="shared" si="0"/>
        <v>23</v>
      </c>
      <c r="B24" s="112" t="s">
        <v>193</v>
      </c>
      <c r="C24" s="124">
        <f>20000-20000</f>
        <v>0</v>
      </c>
      <c r="D24" s="125">
        <f>20000-20000</f>
        <v>0</v>
      </c>
      <c r="E24" s="89">
        <v>14355</v>
      </c>
      <c r="F24" s="89">
        <v>20000</v>
      </c>
      <c r="G24" s="89">
        <v>11534.46</v>
      </c>
      <c r="H24" s="126">
        <v>30000</v>
      </c>
    </row>
    <row r="25" spans="1:9" ht="18" customHeight="1" x14ac:dyDescent="0.25">
      <c r="A25" s="103">
        <f t="shared" si="0"/>
        <v>24</v>
      </c>
      <c r="B25" s="112" t="s">
        <v>299</v>
      </c>
      <c r="C25" s="124">
        <v>0</v>
      </c>
      <c r="D25" s="125">
        <v>0</v>
      </c>
      <c r="E25" s="89">
        <v>0</v>
      </c>
      <c r="F25" s="89">
        <v>0</v>
      </c>
      <c r="G25" s="89">
        <v>0</v>
      </c>
      <c r="H25" s="126">
        <v>0</v>
      </c>
    </row>
    <row r="26" spans="1:9" ht="18" customHeight="1" x14ac:dyDescent="0.25">
      <c r="A26" s="103">
        <f t="shared" si="0"/>
        <v>25</v>
      </c>
      <c r="B26" s="127" t="s">
        <v>376</v>
      </c>
      <c r="C26" s="124">
        <f>C23*0.062</f>
        <v>17360</v>
      </c>
      <c r="D26" s="125">
        <v>16601.689999999999</v>
      </c>
      <c r="E26" s="89">
        <v>12457.4</v>
      </c>
      <c r="F26" s="89">
        <v>13180</v>
      </c>
      <c r="G26" s="89">
        <v>11204.43</v>
      </c>
      <c r="H26" s="126">
        <v>9900</v>
      </c>
      <c r="I26" s="1"/>
    </row>
    <row r="27" spans="1:9" ht="18" customHeight="1" x14ac:dyDescent="0.25">
      <c r="A27" s="103">
        <f t="shared" si="0"/>
        <v>26</v>
      </c>
      <c r="B27" s="127" t="s">
        <v>377</v>
      </c>
      <c r="C27" s="124">
        <f>C23*0.0145</f>
        <v>4060</v>
      </c>
      <c r="D27" s="125">
        <v>3882.12</v>
      </c>
      <c r="E27" s="89">
        <v>2913.49</v>
      </c>
      <c r="F27" s="89">
        <v>3082</v>
      </c>
      <c r="G27" s="89">
        <v>2620.36</v>
      </c>
      <c r="H27" s="126">
        <v>2200</v>
      </c>
      <c r="I27" s="1"/>
    </row>
    <row r="28" spans="1:9" ht="18" customHeight="1" x14ac:dyDescent="0.25">
      <c r="A28" s="103">
        <f t="shared" si="0"/>
        <v>27</v>
      </c>
      <c r="B28" s="127" t="s">
        <v>378</v>
      </c>
      <c r="C28" s="124">
        <f>C23*0.085</f>
        <v>23800</v>
      </c>
      <c r="D28" s="125">
        <v>16374.96</v>
      </c>
      <c r="E28" s="89">
        <v>16384.810000000001</v>
      </c>
      <c r="F28" s="89">
        <v>13000</v>
      </c>
      <c r="G28" s="89">
        <v>14668.97</v>
      </c>
      <c r="H28" s="126">
        <v>9500</v>
      </c>
      <c r="I28" s="1"/>
    </row>
    <row r="29" spans="1:9" ht="18" customHeight="1" x14ac:dyDescent="0.25">
      <c r="A29" s="103">
        <f t="shared" si="0"/>
        <v>28</v>
      </c>
      <c r="B29" s="112" t="s">
        <v>192</v>
      </c>
      <c r="C29" s="124">
        <v>68000</v>
      </c>
      <c r="D29" s="125">
        <v>69943.740000000005</v>
      </c>
      <c r="E29" s="89">
        <v>53597.94</v>
      </c>
      <c r="F29" s="89">
        <v>55528</v>
      </c>
      <c r="G29" s="89">
        <v>54980.54</v>
      </c>
      <c r="H29" s="126">
        <v>54350</v>
      </c>
      <c r="I29" s="1"/>
    </row>
    <row r="30" spans="1:9" ht="18" customHeight="1" x14ac:dyDescent="0.25">
      <c r="A30" s="103">
        <f t="shared" si="0"/>
        <v>29</v>
      </c>
      <c r="B30" s="128" t="s">
        <v>375</v>
      </c>
      <c r="C30" s="124">
        <v>2550</v>
      </c>
      <c r="D30" s="125">
        <v>1889.42</v>
      </c>
      <c r="E30" s="89">
        <v>1352.9</v>
      </c>
      <c r="F30" s="89">
        <v>1500</v>
      </c>
      <c r="G30" s="89">
        <v>1234.92</v>
      </c>
      <c r="H30" s="126">
        <v>1500</v>
      </c>
      <c r="I30" s="1"/>
    </row>
    <row r="31" spans="1:9" ht="18" customHeight="1" x14ac:dyDescent="0.25">
      <c r="A31" s="103">
        <f t="shared" si="0"/>
        <v>30</v>
      </c>
      <c r="B31" s="112" t="s">
        <v>224</v>
      </c>
      <c r="C31" s="124">
        <f>300*((192595+50000)/192595)</f>
        <v>377.88364183909238</v>
      </c>
      <c r="D31" s="125">
        <v>377.88</v>
      </c>
      <c r="E31" s="89">
        <v>6.25</v>
      </c>
      <c r="F31" s="89">
        <v>300</v>
      </c>
      <c r="G31" s="89">
        <v>2926.15</v>
      </c>
      <c r="H31" s="126">
        <v>300</v>
      </c>
      <c r="I31" s="1"/>
    </row>
    <row r="32" spans="1:9" ht="18" customHeight="1" x14ac:dyDescent="0.25">
      <c r="A32" s="103">
        <f t="shared" si="0"/>
        <v>31</v>
      </c>
      <c r="B32" s="129" t="s">
        <v>276</v>
      </c>
      <c r="C32" s="124">
        <f>8000*((192595+50000)/192595)</f>
        <v>10076.897115709129</v>
      </c>
      <c r="D32" s="125">
        <v>10076.9</v>
      </c>
      <c r="E32" s="89">
        <v>9555.68</v>
      </c>
      <c r="F32" s="89">
        <v>8000</v>
      </c>
      <c r="G32" s="89">
        <v>6891.43</v>
      </c>
      <c r="H32" s="126">
        <v>8000</v>
      </c>
      <c r="I32" s="1"/>
    </row>
    <row r="33" spans="1:8" ht="18" customHeight="1" x14ac:dyDescent="0.25">
      <c r="A33" s="103">
        <f t="shared" si="0"/>
        <v>32</v>
      </c>
      <c r="B33" s="129" t="s">
        <v>319</v>
      </c>
      <c r="C33" s="124">
        <v>0</v>
      </c>
      <c r="D33" s="125">
        <v>0</v>
      </c>
      <c r="E33" s="89">
        <v>0</v>
      </c>
      <c r="F33" s="89">
        <v>0</v>
      </c>
      <c r="G33" s="89">
        <v>0</v>
      </c>
      <c r="H33" s="126">
        <v>0</v>
      </c>
    </row>
    <row r="34" spans="1:8" ht="18" customHeight="1" x14ac:dyDescent="0.25">
      <c r="A34" s="103">
        <f t="shared" si="0"/>
        <v>33</v>
      </c>
      <c r="B34" s="130" t="s">
        <v>328</v>
      </c>
      <c r="C34" s="124">
        <v>3000</v>
      </c>
      <c r="D34" s="125">
        <v>3000</v>
      </c>
      <c r="E34" s="89">
        <v>0</v>
      </c>
      <c r="F34" s="89">
        <v>0</v>
      </c>
      <c r="G34" s="89">
        <v>0</v>
      </c>
      <c r="H34" s="126">
        <v>0</v>
      </c>
    </row>
    <row r="35" spans="1:8" ht="18" customHeight="1" x14ac:dyDescent="0.25">
      <c r="A35" s="103">
        <f t="shared" si="0"/>
        <v>34</v>
      </c>
      <c r="B35" s="100" t="s">
        <v>205</v>
      </c>
      <c r="C35" s="117">
        <f t="shared" ref="C35:H35" si="2">SUM(C23:C34)</f>
        <v>409224.78075754823</v>
      </c>
      <c r="D35" s="118">
        <f t="shared" si="2"/>
        <v>364741.71</v>
      </c>
      <c r="E35" s="117">
        <f t="shared" si="2"/>
        <v>319039.26999999996</v>
      </c>
      <c r="F35" s="117">
        <f t="shared" si="2"/>
        <v>307185</v>
      </c>
      <c r="G35" s="117">
        <f t="shared" si="2"/>
        <v>295437.14999999997</v>
      </c>
      <c r="H35" s="117">
        <f t="shared" si="2"/>
        <v>280750</v>
      </c>
    </row>
    <row r="36" spans="1:8" ht="18" customHeight="1" x14ac:dyDescent="0.25">
      <c r="A36" s="103">
        <f t="shared" si="0"/>
        <v>35</v>
      </c>
      <c r="B36" s="131"/>
      <c r="C36" s="105"/>
      <c r="D36" s="106"/>
      <c r="E36" s="105"/>
      <c r="F36" s="105"/>
      <c r="G36" s="105"/>
      <c r="H36" s="126"/>
    </row>
    <row r="37" spans="1:8" ht="18" customHeight="1" x14ac:dyDescent="0.25">
      <c r="A37" s="103">
        <f t="shared" si="0"/>
        <v>36</v>
      </c>
      <c r="B37" s="109" t="s">
        <v>191</v>
      </c>
      <c r="C37" s="105"/>
      <c r="D37" s="106"/>
      <c r="E37" s="105"/>
      <c r="F37" s="105"/>
      <c r="G37" s="105"/>
      <c r="H37" s="126"/>
    </row>
    <row r="38" spans="1:8" ht="18" customHeight="1" x14ac:dyDescent="0.25">
      <c r="A38" s="103">
        <f t="shared" si="0"/>
        <v>37</v>
      </c>
      <c r="B38" s="121" t="s">
        <v>225</v>
      </c>
      <c r="C38" s="90">
        <v>10760</v>
      </c>
      <c r="D38" s="111">
        <v>9300</v>
      </c>
      <c r="E38" s="90">
        <v>6635.6</v>
      </c>
      <c r="F38" s="90">
        <v>9300</v>
      </c>
      <c r="G38" s="90">
        <v>9312.5</v>
      </c>
      <c r="H38" s="123">
        <v>9300</v>
      </c>
    </row>
    <row r="39" spans="1:8" ht="18" customHeight="1" x14ac:dyDescent="0.25">
      <c r="A39" s="103">
        <f t="shared" si="0"/>
        <v>38</v>
      </c>
      <c r="B39" s="112" t="s">
        <v>190</v>
      </c>
      <c r="C39" s="89">
        <v>14280</v>
      </c>
      <c r="D39" s="113">
        <v>18000</v>
      </c>
      <c r="E39" s="89">
        <v>12487.19</v>
      </c>
      <c r="F39" s="89">
        <v>18000</v>
      </c>
      <c r="G39" s="89">
        <v>16906</v>
      </c>
      <c r="H39" s="126">
        <v>18000</v>
      </c>
    </row>
    <row r="40" spans="1:8" ht="18" customHeight="1" x14ac:dyDescent="0.25">
      <c r="A40" s="103">
        <f t="shared" si="0"/>
        <v>39</v>
      </c>
      <c r="B40" s="112" t="s">
        <v>189</v>
      </c>
      <c r="C40" s="89">
        <v>968</v>
      </c>
      <c r="D40" s="113">
        <v>1000</v>
      </c>
      <c r="E40" s="89">
        <v>841</v>
      </c>
      <c r="F40" s="89">
        <v>1000</v>
      </c>
      <c r="G40" s="89">
        <v>856</v>
      </c>
      <c r="H40" s="126">
        <v>1000</v>
      </c>
    </row>
    <row r="41" spans="1:8" ht="18" customHeight="1" x14ac:dyDescent="0.25">
      <c r="A41" s="103">
        <f t="shared" si="0"/>
        <v>40</v>
      </c>
      <c r="B41" s="132" t="s">
        <v>226</v>
      </c>
      <c r="C41" s="89">
        <v>1000</v>
      </c>
      <c r="D41" s="113">
        <v>1000</v>
      </c>
      <c r="E41" s="89">
        <v>0</v>
      </c>
      <c r="F41" s="89">
        <v>1000</v>
      </c>
      <c r="G41" s="89">
        <v>0</v>
      </c>
      <c r="H41" s="126">
        <v>1000</v>
      </c>
    </row>
    <row r="42" spans="1:8" ht="18" customHeight="1" x14ac:dyDescent="0.25">
      <c r="A42" s="103">
        <f t="shared" si="0"/>
        <v>41</v>
      </c>
      <c r="B42" s="100" t="s">
        <v>188</v>
      </c>
      <c r="C42" s="117">
        <f t="shared" ref="C42:D42" si="3">SUM(C38:C41)</f>
        <v>27008</v>
      </c>
      <c r="D42" s="118">
        <f t="shared" si="3"/>
        <v>29300</v>
      </c>
      <c r="E42" s="117">
        <f t="shared" ref="E42:G42" si="4">SUM(E38:E41)</f>
        <v>19963.79</v>
      </c>
      <c r="F42" s="117">
        <f>SUM(F38:F41)</f>
        <v>29300</v>
      </c>
      <c r="G42" s="117">
        <f t="shared" si="4"/>
        <v>27074.5</v>
      </c>
      <c r="H42" s="117">
        <f t="shared" ref="H42" si="5">SUM(H38:H41)</f>
        <v>29300</v>
      </c>
    </row>
    <row r="43" spans="1:8" ht="18" customHeight="1" x14ac:dyDescent="0.25">
      <c r="A43" s="103">
        <f t="shared" si="0"/>
        <v>42</v>
      </c>
      <c r="B43" s="112"/>
      <c r="C43" s="105"/>
      <c r="D43" s="106"/>
      <c r="E43" s="105"/>
      <c r="F43" s="105"/>
      <c r="G43" s="105"/>
      <c r="H43" s="126"/>
    </row>
    <row r="44" spans="1:8" ht="18" customHeight="1" x14ac:dyDescent="0.25">
      <c r="A44" s="103">
        <f t="shared" si="0"/>
        <v>43</v>
      </c>
      <c r="B44" s="109" t="s">
        <v>187</v>
      </c>
      <c r="C44" s="105"/>
      <c r="D44" s="106"/>
      <c r="E44" s="105"/>
      <c r="F44" s="105"/>
      <c r="G44" s="105"/>
      <c r="H44" s="89"/>
    </row>
    <row r="45" spans="1:8" ht="18" customHeight="1" x14ac:dyDescent="0.25">
      <c r="A45" s="103">
        <f t="shared" si="0"/>
        <v>44</v>
      </c>
      <c r="B45" s="121" t="s">
        <v>186</v>
      </c>
      <c r="C45" s="88">
        <v>75000</v>
      </c>
      <c r="D45" s="122">
        <v>85000</v>
      </c>
      <c r="E45" s="90">
        <v>0</v>
      </c>
      <c r="F45" s="90">
        <v>85000</v>
      </c>
      <c r="G45" s="90">
        <v>0</v>
      </c>
      <c r="H45" s="90">
        <v>75000</v>
      </c>
    </row>
    <row r="46" spans="1:8" ht="18" customHeight="1" x14ac:dyDescent="0.25">
      <c r="A46" s="103">
        <f t="shared" si="0"/>
        <v>45</v>
      </c>
      <c r="B46" s="133" t="s">
        <v>324</v>
      </c>
      <c r="C46" s="124">
        <v>0</v>
      </c>
      <c r="D46" s="125">
        <v>0</v>
      </c>
      <c r="E46" s="89">
        <v>75920.39</v>
      </c>
      <c r="F46" s="89">
        <v>0</v>
      </c>
      <c r="G46" s="89">
        <v>47983.94</v>
      </c>
      <c r="H46" s="89">
        <v>0</v>
      </c>
    </row>
    <row r="47" spans="1:8" ht="18" customHeight="1" x14ac:dyDescent="0.25">
      <c r="A47" s="103">
        <f t="shared" si="0"/>
        <v>46</v>
      </c>
      <c r="B47" s="112" t="s">
        <v>185</v>
      </c>
      <c r="C47" s="124">
        <v>0</v>
      </c>
      <c r="D47" s="125">
        <v>0</v>
      </c>
      <c r="E47" s="89">
        <v>37178.25</v>
      </c>
      <c r="F47" s="89">
        <v>0</v>
      </c>
      <c r="G47" s="89">
        <v>34395</v>
      </c>
      <c r="H47" s="89">
        <v>0</v>
      </c>
    </row>
    <row r="48" spans="1:8" ht="18" customHeight="1" x14ac:dyDescent="0.25">
      <c r="A48" s="103">
        <f t="shared" si="0"/>
        <v>47</v>
      </c>
      <c r="B48" s="112" t="s">
        <v>184</v>
      </c>
      <c r="C48" s="124">
        <v>80000</v>
      </c>
      <c r="D48" s="125">
        <v>70000</v>
      </c>
      <c r="E48" s="89">
        <v>43766.85</v>
      </c>
      <c r="F48" s="89">
        <v>70000</v>
      </c>
      <c r="G48" s="89">
        <v>35560.04</v>
      </c>
      <c r="H48" s="89">
        <v>70000</v>
      </c>
    </row>
    <row r="49" spans="1:8" ht="18" customHeight="1" x14ac:dyDescent="0.25">
      <c r="A49" s="103">
        <f t="shared" si="0"/>
        <v>48</v>
      </c>
      <c r="B49" s="112" t="s">
        <v>183</v>
      </c>
      <c r="C49" s="124">
        <v>85000</v>
      </c>
      <c r="D49" s="125">
        <v>85000</v>
      </c>
      <c r="E49" s="89">
        <v>74474.69</v>
      </c>
      <c r="F49" s="89">
        <v>85000</v>
      </c>
      <c r="G49" s="89">
        <v>77098.94</v>
      </c>
      <c r="H49" s="89">
        <v>85000</v>
      </c>
    </row>
    <row r="50" spans="1:8" ht="18" customHeight="1" x14ac:dyDescent="0.25">
      <c r="A50" s="103">
        <f t="shared" si="0"/>
        <v>49</v>
      </c>
      <c r="B50" s="116" t="s">
        <v>320</v>
      </c>
      <c r="C50" s="124">
        <v>0</v>
      </c>
      <c r="D50" s="125">
        <v>0</v>
      </c>
      <c r="E50" s="89">
        <v>0</v>
      </c>
      <c r="F50" s="89">
        <v>0</v>
      </c>
      <c r="G50" s="89">
        <v>5377.62</v>
      </c>
      <c r="H50" s="89">
        <v>0</v>
      </c>
    </row>
    <row r="51" spans="1:8" ht="18" customHeight="1" x14ac:dyDescent="0.25">
      <c r="A51" s="103">
        <f t="shared" si="0"/>
        <v>50</v>
      </c>
      <c r="B51" s="112" t="s">
        <v>182</v>
      </c>
      <c r="C51" s="124">
        <v>12000</v>
      </c>
      <c r="D51" s="125">
        <v>12000</v>
      </c>
      <c r="E51" s="89">
        <v>4214</v>
      </c>
      <c r="F51" s="89">
        <v>12000</v>
      </c>
      <c r="G51" s="89">
        <v>12896.18</v>
      </c>
      <c r="H51" s="89">
        <v>12000</v>
      </c>
    </row>
    <row r="52" spans="1:8" ht="18" customHeight="1" x14ac:dyDescent="0.25">
      <c r="A52" s="103">
        <f t="shared" si="0"/>
        <v>51</v>
      </c>
      <c r="B52" s="112" t="s">
        <v>227</v>
      </c>
      <c r="C52" s="124">
        <v>1000</v>
      </c>
      <c r="D52" s="125">
        <v>1000</v>
      </c>
      <c r="E52" s="89">
        <v>228.47</v>
      </c>
      <c r="F52" s="89">
        <v>1000</v>
      </c>
      <c r="G52" s="89">
        <v>798</v>
      </c>
      <c r="H52" s="89">
        <v>1000</v>
      </c>
    </row>
    <row r="53" spans="1:8" ht="18" customHeight="1" x14ac:dyDescent="0.25">
      <c r="A53" s="103">
        <f t="shared" si="0"/>
        <v>52</v>
      </c>
      <c r="B53" s="112" t="s">
        <v>228</v>
      </c>
      <c r="C53" s="124">
        <v>25000</v>
      </c>
      <c r="D53" s="125">
        <v>18000</v>
      </c>
      <c r="E53" s="89">
        <v>18394.400000000001</v>
      </c>
      <c r="F53" s="89">
        <v>12000</v>
      </c>
      <c r="G53" s="89">
        <v>12629.68</v>
      </c>
      <c r="H53" s="89">
        <v>8000</v>
      </c>
    </row>
    <row r="54" spans="1:8" ht="18" customHeight="1" x14ac:dyDescent="0.25">
      <c r="A54" s="103">
        <f t="shared" si="0"/>
        <v>53</v>
      </c>
      <c r="B54" s="112" t="s">
        <v>181</v>
      </c>
      <c r="C54" s="124">
        <v>2500</v>
      </c>
      <c r="D54" s="125">
        <v>5000</v>
      </c>
      <c r="E54" s="89">
        <v>0</v>
      </c>
      <c r="F54" s="89">
        <v>5000</v>
      </c>
      <c r="G54" s="89">
        <v>0</v>
      </c>
      <c r="H54" s="89">
        <v>5000</v>
      </c>
    </row>
    <row r="55" spans="1:8" ht="18" customHeight="1" x14ac:dyDescent="0.25">
      <c r="A55" s="103">
        <f t="shared" si="0"/>
        <v>54</v>
      </c>
      <c r="B55" s="112" t="s">
        <v>229</v>
      </c>
      <c r="C55" s="124">
        <v>15000</v>
      </c>
      <c r="D55" s="125">
        <v>10000</v>
      </c>
      <c r="E55" s="89">
        <v>8085.63</v>
      </c>
      <c r="F55" s="89">
        <v>5000</v>
      </c>
      <c r="G55" s="89">
        <v>6152.53</v>
      </c>
      <c r="H55" s="89">
        <v>10000</v>
      </c>
    </row>
    <row r="56" spans="1:8" ht="18" customHeight="1" x14ac:dyDescent="0.25">
      <c r="A56" s="103">
        <f t="shared" si="0"/>
        <v>55</v>
      </c>
      <c r="B56" s="112" t="s">
        <v>180</v>
      </c>
      <c r="C56" s="124">
        <v>1000</v>
      </c>
      <c r="D56" s="125">
        <v>1000</v>
      </c>
      <c r="E56" s="89">
        <v>943.35</v>
      </c>
      <c r="F56" s="89">
        <v>1000</v>
      </c>
      <c r="G56" s="89">
        <v>876.5</v>
      </c>
      <c r="H56" s="89">
        <v>1000</v>
      </c>
    </row>
    <row r="57" spans="1:8" ht="18" customHeight="1" x14ac:dyDescent="0.25">
      <c r="A57" s="103">
        <f t="shared" si="0"/>
        <v>56</v>
      </c>
      <c r="B57" s="115" t="s">
        <v>304</v>
      </c>
      <c r="C57" s="124">
        <v>3000</v>
      </c>
      <c r="D57" s="125">
        <v>5000</v>
      </c>
      <c r="E57" s="89">
        <v>2510.1999999999998</v>
      </c>
      <c r="F57" s="89">
        <v>2000</v>
      </c>
      <c r="G57" s="89">
        <v>1953.93</v>
      </c>
      <c r="H57" s="89">
        <v>0</v>
      </c>
    </row>
    <row r="58" spans="1:8" ht="18" customHeight="1" x14ac:dyDescent="0.25">
      <c r="A58" s="103">
        <f t="shared" si="0"/>
        <v>57</v>
      </c>
      <c r="B58" s="100" t="s">
        <v>179</v>
      </c>
      <c r="C58" s="117">
        <f t="shared" ref="C58:E58" si="6">SUM(C45:C57)</f>
        <v>299500</v>
      </c>
      <c r="D58" s="118">
        <f t="shared" ref="D58" si="7">SUM(D45:D57)</f>
        <v>292000</v>
      </c>
      <c r="E58" s="117">
        <f t="shared" si="6"/>
        <v>265716.23</v>
      </c>
      <c r="F58" s="117">
        <f t="shared" ref="F58:H58" si="8">SUM(F45:F57)</f>
        <v>278000</v>
      </c>
      <c r="G58" s="117">
        <f t="shared" si="8"/>
        <v>235722.36</v>
      </c>
      <c r="H58" s="117">
        <f t="shared" si="8"/>
        <v>267000</v>
      </c>
    </row>
    <row r="59" spans="1:8" ht="18" customHeight="1" x14ac:dyDescent="0.25">
      <c r="A59" s="103">
        <f t="shared" si="0"/>
        <v>58</v>
      </c>
      <c r="B59" s="119"/>
      <c r="C59" s="105"/>
      <c r="D59" s="106"/>
      <c r="E59" s="105"/>
      <c r="F59" s="105"/>
      <c r="G59" s="105"/>
      <c r="H59" s="120"/>
    </row>
    <row r="60" spans="1:8" ht="18" customHeight="1" x14ac:dyDescent="0.25">
      <c r="A60" s="103">
        <f t="shared" si="0"/>
        <v>59</v>
      </c>
      <c r="B60" s="109" t="s">
        <v>178</v>
      </c>
      <c r="C60" s="105"/>
      <c r="D60" s="106"/>
      <c r="E60" s="105"/>
      <c r="F60" s="105"/>
      <c r="G60" s="105"/>
      <c r="H60" s="89"/>
    </row>
    <row r="61" spans="1:8" ht="18" customHeight="1" x14ac:dyDescent="0.25">
      <c r="A61" s="103">
        <f t="shared" si="0"/>
        <v>60</v>
      </c>
      <c r="B61" s="121" t="s">
        <v>177</v>
      </c>
      <c r="C61" s="88">
        <v>50000</v>
      </c>
      <c r="D61" s="122">
        <v>40000</v>
      </c>
      <c r="E61" s="90">
        <v>51084.98</v>
      </c>
      <c r="F61" s="90">
        <v>38000</v>
      </c>
      <c r="G61" s="90">
        <v>29422.05</v>
      </c>
      <c r="H61" s="90">
        <v>32000</v>
      </c>
    </row>
    <row r="62" spans="1:8" ht="18" customHeight="1" x14ac:dyDescent="0.25">
      <c r="A62" s="103">
        <f t="shared" si="0"/>
        <v>61</v>
      </c>
      <c r="B62" s="112" t="s">
        <v>176</v>
      </c>
      <c r="C62" s="124">
        <v>100</v>
      </c>
      <c r="D62" s="125">
        <v>100</v>
      </c>
      <c r="E62" s="89">
        <v>378.92</v>
      </c>
      <c r="F62" s="89">
        <v>100</v>
      </c>
      <c r="G62" s="89">
        <v>97.17</v>
      </c>
      <c r="H62" s="89">
        <v>100</v>
      </c>
    </row>
    <row r="63" spans="1:8" ht="18" customHeight="1" x14ac:dyDescent="0.25">
      <c r="A63" s="103">
        <f t="shared" si="0"/>
        <v>62</v>
      </c>
      <c r="B63" s="112" t="s">
        <v>175</v>
      </c>
      <c r="C63" s="124">
        <v>1000</v>
      </c>
      <c r="D63" s="125">
        <v>1000</v>
      </c>
      <c r="E63" s="89">
        <v>765.6</v>
      </c>
      <c r="F63" s="89">
        <v>500</v>
      </c>
      <c r="G63" s="89">
        <v>141.35</v>
      </c>
      <c r="H63" s="89">
        <v>500</v>
      </c>
    </row>
    <row r="64" spans="1:8" ht="18" customHeight="1" x14ac:dyDescent="0.25">
      <c r="A64" s="103">
        <f t="shared" si="0"/>
        <v>63</v>
      </c>
      <c r="B64" s="114" t="s">
        <v>350</v>
      </c>
      <c r="C64" s="124">
        <v>5000</v>
      </c>
      <c r="D64" s="125">
        <v>10000</v>
      </c>
      <c r="E64" s="89">
        <v>4253.38</v>
      </c>
      <c r="F64" s="89">
        <v>10000</v>
      </c>
      <c r="G64" s="89">
        <v>6123.02</v>
      </c>
      <c r="H64" s="89">
        <v>10000</v>
      </c>
    </row>
    <row r="65" spans="1:8" ht="18" customHeight="1" x14ac:dyDescent="0.25">
      <c r="A65" s="103">
        <f t="shared" si="0"/>
        <v>64</v>
      </c>
      <c r="B65" s="134" t="s">
        <v>300</v>
      </c>
      <c r="C65" s="124">
        <v>2000</v>
      </c>
      <c r="D65" s="125">
        <v>2000</v>
      </c>
      <c r="E65" s="89">
        <v>3932.54</v>
      </c>
      <c r="F65" s="89">
        <v>0</v>
      </c>
      <c r="G65" s="89">
        <v>736.36</v>
      </c>
      <c r="H65" s="89">
        <v>0</v>
      </c>
    </row>
    <row r="66" spans="1:8" ht="18" customHeight="1" x14ac:dyDescent="0.25">
      <c r="A66" s="103">
        <f t="shared" si="0"/>
        <v>65</v>
      </c>
      <c r="B66" s="114" t="s">
        <v>351</v>
      </c>
      <c r="C66" s="124">
        <v>500</v>
      </c>
      <c r="D66" s="125">
        <v>500</v>
      </c>
      <c r="E66" s="89">
        <v>592.16999999999996</v>
      </c>
      <c r="F66" s="89">
        <v>500</v>
      </c>
      <c r="G66" s="89">
        <v>371.18</v>
      </c>
      <c r="H66" s="89">
        <v>0</v>
      </c>
    </row>
    <row r="67" spans="1:8" ht="18" customHeight="1" x14ac:dyDescent="0.25">
      <c r="A67" s="103">
        <f t="shared" si="0"/>
        <v>66</v>
      </c>
      <c r="B67" s="112" t="s">
        <v>230</v>
      </c>
      <c r="C67" s="124">
        <v>15000</v>
      </c>
      <c r="D67" s="125">
        <v>20000</v>
      </c>
      <c r="E67" s="89">
        <v>14639.1</v>
      </c>
      <c r="F67" s="89">
        <v>13500</v>
      </c>
      <c r="G67" s="89">
        <v>11394.26</v>
      </c>
      <c r="H67" s="89">
        <v>13500</v>
      </c>
    </row>
    <row r="68" spans="1:8" ht="18" customHeight="1" x14ac:dyDescent="0.25">
      <c r="A68" s="103">
        <f t="shared" si="0"/>
        <v>67</v>
      </c>
      <c r="B68" s="112" t="s">
        <v>174</v>
      </c>
      <c r="C68" s="124">
        <v>6000</v>
      </c>
      <c r="D68" s="125">
        <v>12000</v>
      </c>
      <c r="E68" s="89">
        <v>4808</v>
      </c>
      <c r="F68" s="89">
        <v>12000</v>
      </c>
      <c r="G68" s="89">
        <v>0</v>
      </c>
      <c r="H68" s="89">
        <v>7000</v>
      </c>
    </row>
    <row r="69" spans="1:8" ht="18" customHeight="1" x14ac:dyDescent="0.25">
      <c r="A69" s="103">
        <f t="shared" si="0"/>
        <v>68</v>
      </c>
      <c r="B69" s="112" t="s">
        <v>173</v>
      </c>
      <c r="C69" s="124">
        <v>1000</v>
      </c>
      <c r="D69" s="125">
        <v>500</v>
      </c>
      <c r="E69" s="89">
        <v>1595</v>
      </c>
      <c r="F69" s="89">
        <v>500</v>
      </c>
      <c r="G69" s="89">
        <v>1035</v>
      </c>
      <c r="H69" s="89">
        <v>1000</v>
      </c>
    </row>
    <row r="70" spans="1:8" ht="18" customHeight="1" x14ac:dyDescent="0.25">
      <c r="A70" s="103">
        <f t="shared" si="0"/>
        <v>69</v>
      </c>
      <c r="B70" s="112" t="s">
        <v>231</v>
      </c>
      <c r="C70" s="124">
        <v>1500</v>
      </c>
      <c r="D70" s="125">
        <v>1500</v>
      </c>
      <c r="E70" s="89">
        <v>2562.91</v>
      </c>
      <c r="F70" s="89">
        <v>1500</v>
      </c>
      <c r="G70" s="89">
        <v>922.84</v>
      </c>
      <c r="H70" s="89">
        <v>1400</v>
      </c>
    </row>
    <row r="71" spans="1:8" ht="18" customHeight="1" x14ac:dyDescent="0.25">
      <c r="A71" s="103">
        <f t="shared" si="0"/>
        <v>70</v>
      </c>
      <c r="B71" s="134" t="s">
        <v>126</v>
      </c>
      <c r="C71" s="124">
        <v>1000</v>
      </c>
      <c r="D71" s="125">
        <v>1000</v>
      </c>
      <c r="E71" s="89">
        <v>0</v>
      </c>
      <c r="F71" s="89">
        <v>1000</v>
      </c>
      <c r="G71" s="89">
        <v>0</v>
      </c>
      <c r="H71" s="89">
        <v>0</v>
      </c>
    </row>
    <row r="72" spans="1:8" ht="18" customHeight="1" x14ac:dyDescent="0.25">
      <c r="A72" s="103">
        <f t="shared" si="0"/>
        <v>71</v>
      </c>
      <c r="B72" s="114" t="s">
        <v>332</v>
      </c>
      <c r="C72" s="124">
        <v>0</v>
      </c>
      <c r="D72" s="125">
        <v>0</v>
      </c>
      <c r="E72" s="89">
        <v>47</v>
      </c>
      <c r="F72" s="89">
        <v>0</v>
      </c>
      <c r="G72" s="89">
        <v>0</v>
      </c>
      <c r="H72" s="89">
        <v>0</v>
      </c>
    </row>
    <row r="73" spans="1:8" ht="18" customHeight="1" x14ac:dyDescent="0.25">
      <c r="A73" s="103">
        <f t="shared" si="0"/>
        <v>72</v>
      </c>
      <c r="B73" s="114" t="s">
        <v>352</v>
      </c>
      <c r="C73" s="124">
        <v>1000</v>
      </c>
      <c r="D73" s="125">
        <v>1000</v>
      </c>
      <c r="E73" s="89">
        <v>198.97</v>
      </c>
      <c r="F73" s="89">
        <v>1000</v>
      </c>
      <c r="G73" s="89">
        <v>0</v>
      </c>
      <c r="H73" s="89">
        <v>0</v>
      </c>
    </row>
    <row r="74" spans="1:8" ht="18" customHeight="1" x14ac:dyDescent="0.25">
      <c r="A74" s="103">
        <f t="shared" si="0"/>
        <v>73</v>
      </c>
      <c r="B74" s="100" t="s">
        <v>206</v>
      </c>
      <c r="C74" s="117">
        <f t="shared" ref="C74:D74" si="9">SUM(C61:C73)</f>
        <v>84100</v>
      </c>
      <c r="D74" s="118">
        <f t="shared" si="9"/>
        <v>89600</v>
      </c>
      <c r="E74" s="117">
        <f t="shared" ref="E74:G74" si="10">SUM(E61:E73)</f>
        <v>84858.57</v>
      </c>
      <c r="F74" s="117">
        <f>SUM(F61:F73)</f>
        <v>78600</v>
      </c>
      <c r="G74" s="117">
        <f t="shared" si="10"/>
        <v>50243.229999999996</v>
      </c>
      <c r="H74" s="117">
        <f>SUM(H61:H73)</f>
        <v>65500</v>
      </c>
    </row>
    <row r="75" spans="1:8" ht="18" customHeight="1" x14ac:dyDescent="0.25">
      <c r="A75" s="103">
        <f t="shared" si="0"/>
        <v>74</v>
      </c>
      <c r="B75" s="119"/>
      <c r="C75" s="105"/>
      <c r="D75" s="106"/>
      <c r="E75" s="105"/>
      <c r="F75" s="105"/>
      <c r="G75" s="105"/>
      <c r="H75" s="120"/>
    </row>
    <row r="76" spans="1:8" ht="18" customHeight="1" x14ac:dyDescent="0.25">
      <c r="A76" s="103">
        <f t="shared" ref="A76:A117" si="11">A75+1</f>
        <v>75</v>
      </c>
      <c r="B76" s="109" t="s">
        <v>232</v>
      </c>
      <c r="C76" s="105"/>
      <c r="D76" s="106"/>
      <c r="E76" s="105"/>
      <c r="F76" s="105"/>
      <c r="G76" s="105"/>
      <c r="H76" s="89"/>
    </row>
    <row r="77" spans="1:8" ht="18" customHeight="1" x14ac:dyDescent="0.25">
      <c r="A77" s="103">
        <f t="shared" si="11"/>
        <v>76</v>
      </c>
      <c r="B77" s="135" t="s">
        <v>233</v>
      </c>
      <c r="C77" s="90">
        <v>30000</v>
      </c>
      <c r="D77" s="111">
        <v>25000</v>
      </c>
      <c r="E77" s="90">
        <v>50745.42</v>
      </c>
      <c r="F77" s="90">
        <v>35000</v>
      </c>
      <c r="G77" s="90">
        <v>52235</v>
      </c>
      <c r="H77" s="90">
        <v>35000</v>
      </c>
    </row>
    <row r="78" spans="1:8" ht="18" customHeight="1" x14ac:dyDescent="0.25">
      <c r="A78" s="103">
        <f t="shared" si="11"/>
        <v>77</v>
      </c>
      <c r="B78" s="100" t="s">
        <v>234</v>
      </c>
      <c r="C78" s="117">
        <f t="shared" ref="C78:D78" si="12">SUM(C77:C77)</f>
        <v>30000</v>
      </c>
      <c r="D78" s="118">
        <f t="shared" si="12"/>
        <v>25000</v>
      </c>
      <c r="E78" s="117">
        <f t="shared" ref="E78:G78" si="13">SUM(E77:E77)</f>
        <v>50745.42</v>
      </c>
      <c r="F78" s="117">
        <f>SUM(F77:F77)</f>
        <v>35000</v>
      </c>
      <c r="G78" s="117">
        <f t="shared" si="13"/>
        <v>52235</v>
      </c>
      <c r="H78" s="117">
        <f>SUM(H77:H77)</f>
        <v>35000</v>
      </c>
    </row>
    <row r="79" spans="1:8" ht="18" customHeight="1" x14ac:dyDescent="0.25">
      <c r="A79" s="103">
        <f t="shared" si="11"/>
        <v>78</v>
      </c>
      <c r="B79" s="112"/>
      <c r="C79" s="105"/>
      <c r="D79" s="106"/>
      <c r="E79" s="105"/>
      <c r="F79" s="105"/>
      <c r="G79" s="105"/>
      <c r="H79" s="89"/>
    </row>
    <row r="80" spans="1:8" ht="18" customHeight="1" x14ac:dyDescent="0.25">
      <c r="A80" s="103">
        <f t="shared" si="11"/>
        <v>79</v>
      </c>
      <c r="B80" s="109" t="s">
        <v>172</v>
      </c>
      <c r="C80" s="105"/>
      <c r="D80" s="106"/>
      <c r="E80" s="105"/>
      <c r="F80" s="105"/>
      <c r="G80" s="105"/>
      <c r="H80" s="89"/>
    </row>
    <row r="81" spans="1:8" ht="18" customHeight="1" x14ac:dyDescent="0.25">
      <c r="A81" s="103">
        <f t="shared" si="11"/>
        <v>80</v>
      </c>
      <c r="B81" s="121" t="s">
        <v>171</v>
      </c>
      <c r="C81" s="90">
        <v>2000</v>
      </c>
      <c r="D81" s="111">
        <v>1000</v>
      </c>
      <c r="E81" s="90">
        <v>1800</v>
      </c>
      <c r="F81" s="90">
        <v>1000</v>
      </c>
      <c r="G81" s="90">
        <v>1650.46</v>
      </c>
      <c r="H81" s="90">
        <v>1500</v>
      </c>
    </row>
    <row r="82" spans="1:8" ht="18" customHeight="1" x14ac:dyDescent="0.25">
      <c r="A82" s="103">
        <f t="shared" si="11"/>
        <v>81</v>
      </c>
      <c r="B82" s="112" t="s">
        <v>235</v>
      </c>
      <c r="C82" s="89">
        <v>7000</v>
      </c>
      <c r="D82" s="113">
        <v>3500</v>
      </c>
      <c r="E82" s="89">
        <v>8386.07</v>
      </c>
      <c r="F82" s="89">
        <v>3500</v>
      </c>
      <c r="G82" s="89">
        <v>3620.63</v>
      </c>
      <c r="H82" s="89">
        <v>5000</v>
      </c>
    </row>
    <row r="83" spans="1:8" ht="18" customHeight="1" x14ac:dyDescent="0.25">
      <c r="A83" s="103">
        <f t="shared" si="11"/>
        <v>82</v>
      </c>
      <c r="B83" s="112" t="s">
        <v>170</v>
      </c>
      <c r="C83" s="89">
        <v>600</v>
      </c>
      <c r="D83" s="113">
        <v>600</v>
      </c>
      <c r="E83" s="89">
        <v>484.68</v>
      </c>
      <c r="F83" s="89">
        <v>600</v>
      </c>
      <c r="G83" s="89">
        <v>574.17999999999995</v>
      </c>
      <c r="H83" s="89">
        <v>600</v>
      </c>
    </row>
    <row r="84" spans="1:8" ht="18" customHeight="1" x14ac:dyDescent="0.25">
      <c r="A84" s="103">
        <f t="shared" si="11"/>
        <v>83</v>
      </c>
      <c r="B84" s="112" t="s">
        <v>169</v>
      </c>
      <c r="C84" s="89">
        <v>1400</v>
      </c>
      <c r="D84" s="113">
        <v>1400</v>
      </c>
      <c r="E84" s="89">
        <v>1529.32</v>
      </c>
      <c r="F84" s="89">
        <v>1400</v>
      </c>
      <c r="G84" s="89">
        <v>1698.39</v>
      </c>
      <c r="H84" s="89">
        <v>1300</v>
      </c>
    </row>
    <row r="85" spans="1:8" ht="18" customHeight="1" x14ac:dyDescent="0.25">
      <c r="A85" s="103">
        <f t="shared" si="11"/>
        <v>84</v>
      </c>
      <c r="B85" s="112" t="s">
        <v>168</v>
      </c>
      <c r="C85" s="89">
        <v>0</v>
      </c>
      <c r="D85" s="113">
        <v>0</v>
      </c>
      <c r="E85" s="89">
        <v>0</v>
      </c>
      <c r="F85" s="89">
        <v>0</v>
      </c>
      <c r="G85" s="89">
        <v>0</v>
      </c>
      <c r="H85" s="89">
        <v>6000</v>
      </c>
    </row>
    <row r="86" spans="1:8" ht="18" customHeight="1" x14ac:dyDescent="0.25">
      <c r="A86" s="103">
        <f t="shared" si="11"/>
        <v>85</v>
      </c>
      <c r="B86" s="100" t="s">
        <v>207</v>
      </c>
      <c r="C86" s="117">
        <f t="shared" ref="C86:D86" si="14">SUM(C81:C85)</f>
        <v>11000</v>
      </c>
      <c r="D86" s="118">
        <f t="shared" si="14"/>
        <v>6500</v>
      </c>
      <c r="E86" s="117">
        <f t="shared" ref="E86:G86" si="15">SUM(E81:E85)</f>
        <v>12200.07</v>
      </c>
      <c r="F86" s="117">
        <f>SUM(F81:F85)</f>
        <v>6500</v>
      </c>
      <c r="G86" s="117">
        <f t="shared" si="15"/>
        <v>7543.6600000000008</v>
      </c>
      <c r="H86" s="117">
        <f>SUM(H81:H85)</f>
        <v>14400</v>
      </c>
    </row>
    <row r="87" spans="1:8" ht="18" customHeight="1" x14ac:dyDescent="0.25">
      <c r="A87" s="103">
        <f t="shared" si="11"/>
        <v>86</v>
      </c>
      <c r="B87" s="131"/>
      <c r="C87" s="105"/>
      <c r="D87" s="106"/>
      <c r="E87" s="105"/>
      <c r="F87" s="105"/>
      <c r="G87" s="105"/>
      <c r="H87" s="89"/>
    </row>
    <row r="88" spans="1:8" ht="18" customHeight="1" x14ac:dyDescent="0.25">
      <c r="A88" s="92">
        <f t="shared" si="11"/>
        <v>87</v>
      </c>
      <c r="B88" s="161" t="s">
        <v>167</v>
      </c>
      <c r="C88" s="140"/>
      <c r="D88" s="141"/>
      <c r="E88" s="140"/>
      <c r="F88" s="140"/>
      <c r="G88" s="140"/>
      <c r="H88" s="142"/>
    </row>
    <row r="89" spans="1:8" ht="18" customHeight="1" x14ac:dyDescent="0.25">
      <c r="A89" s="103">
        <f t="shared" si="11"/>
        <v>88</v>
      </c>
      <c r="B89" s="112" t="s">
        <v>166</v>
      </c>
      <c r="C89" s="124">
        <v>15000</v>
      </c>
      <c r="D89" s="125">
        <v>15000</v>
      </c>
      <c r="E89" s="89">
        <v>13050</v>
      </c>
      <c r="F89" s="89">
        <v>15000</v>
      </c>
      <c r="G89" s="89">
        <v>13050</v>
      </c>
      <c r="H89" s="89">
        <v>15000</v>
      </c>
    </row>
    <row r="90" spans="1:8" ht="18" customHeight="1" x14ac:dyDescent="0.25">
      <c r="A90" s="103">
        <f t="shared" si="11"/>
        <v>89</v>
      </c>
      <c r="B90" s="112" t="s">
        <v>165</v>
      </c>
      <c r="C90" s="124">
        <v>10000</v>
      </c>
      <c r="D90" s="125">
        <v>10000</v>
      </c>
      <c r="E90" s="89">
        <v>0</v>
      </c>
      <c r="F90" s="89">
        <v>10000</v>
      </c>
      <c r="G90" s="89">
        <v>3487.5</v>
      </c>
      <c r="H90" s="89">
        <v>10000</v>
      </c>
    </row>
    <row r="91" spans="1:8" ht="18" customHeight="1" x14ac:dyDescent="0.25">
      <c r="A91" s="103">
        <f t="shared" si="11"/>
        <v>90</v>
      </c>
      <c r="B91" s="137" t="s">
        <v>323</v>
      </c>
      <c r="C91" s="124">
        <v>1990</v>
      </c>
      <c r="D91" s="125">
        <v>1600</v>
      </c>
      <c r="E91" s="89">
        <v>1550</v>
      </c>
      <c r="F91" s="89">
        <v>0</v>
      </c>
      <c r="G91" s="89">
        <v>1590</v>
      </c>
      <c r="H91" s="89">
        <v>0</v>
      </c>
    </row>
    <row r="92" spans="1:8" ht="18" customHeight="1" x14ac:dyDescent="0.25">
      <c r="A92" s="103">
        <f t="shared" si="11"/>
        <v>91</v>
      </c>
      <c r="B92" s="138" t="s">
        <v>273</v>
      </c>
      <c r="C92" s="124">
        <v>3500</v>
      </c>
      <c r="D92" s="125">
        <v>3500</v>
      </c>
      <c r="E92" s="89">
        <v>0</v>
      </c>
      <c r="F92" s="89">
        <v>3500</v>
      </c>
      <c r="G92" s="89">
        <v>3900</v>
      </c>
      <c r="H92" s="89">
        <v>3500</v>
      </c>
    </row>
    <row r="93" spans="1:8" ht="18" customHeight="1" x14ac:dyDescent="0.25">
      <c r="A93" s="103">
        <f t="shared" si="11"/>
        <v>92</v>
      </c>
      <c r="B93" s="100" t="s">
        <v>164</v>
      </c>
      <c r="C93" s="117">
        <f t="shared" ref="C93:H93" si="16">SUM(C89:C92)</f>
        <v>30490</v>
      </c>
      <c r="D93" s="118">
        <f t="shared" si="16"/>
        <v>30100</v>
      </c>
      <c r="E93" s="117">
        <f t="shared" si="16"/>
        <v>14600</v>
      </c>
      <c r="F93" s="117">
        <f t="shared" si="16"/>
        <v>28500</v>
      </c>
      <c r="G93" s="117">
        <f t="shared" si="16"/>
        <v>22027.5</v>
      </c>
      <c r="H93" s="117">
        <f t="shared" si="16"/>
        <v>28500</v>
      </c>
    </row>
    <row r="94" spans="1:8" ht="18" customHeight="1" x14ac:dyDescent="0.25">
      <c r="A94" s="103">
        <f t="shared" si="11"/>
        <v>93</v>
      </c>
      <c r="B94" s="119"/>
      <c r="C94" s="105"/>
      <c r="D94" s="106"/>
      <c r="E94" s="105"/>
      <c r="F94" s="105"/>
      <c r="G94" s="105"/>
      <c r="H94" s="120"/>
    </row>
    <row r="95" spans="1:8" ht="18" customHeight="1" x14ac:dyDescent="0.25">
      <c r="A95" s="103">
        <f t="shared" si="11"/>
        <v>94</v>
      </c>
      <c r="B95" s="139" t="s">
        <v>209</v>
      </c>
      <c r="C95" s="140"/>
      <c r="D95" s="141"/>
      <c r="E95" s="140"/>
      <c r="F95" s="140"/>
      <c r="G95" s="140"/>
      <c r="H95" s="142"/>
    </row>
    <row r="96" spans="1:8" ht="18" customHeight="1" x14ac:dyDescent="0.25">
      <c r="A96" s="103">
        <f t="shared" si="11"/>
        <v>95</v>
      </c>
      <c r="B96" s="112" t="s">
        <v>163</v>
      </c>
      <c r="C96" s="89">
        <v>1750</v>
      </c>
      <c r="D96" s="113">
        <v>1750</v>
      </c>
      <c r="E96" s="89">
        <v>0</v>
      </c>
      <c r="F96" s="89">
        <v>1750</v>
      </c>
      <c r="G96" s="89">
        <v>0</v>
      </c>
      <c r="H96" s="89">
        <v>1750</v>
      </c>
    </row>
    <row r="97" spans="1:8" ht="18" customHeight="1" x14ac:dyDescent="0.25">
      <c r="A97" s="103">
        <f t="shared" si="11"/>
        <v>96</v>
      </c>
      <c r="B97" s="114" t="s">
        <v>353</v>
      </c>
      <c r="C97" s="89">
        <v>0</v>
      </c>
      <c r="D97" s="113">
        <v>0</v>
      </c>
      <c r="E97" s="89">
        <v>6493.14</v>
      </c>
      <c r="F97" s="89">
        <v>0</v>
      </c>
      <c r="G97" s="89">
        <v>0</v>
      </c>
      <c r="H97" s="89">
        <v>0</v>
      </c>
    </row>
    <row r="98" spans="1:8" ht="18" customHeight="1" x14ac:dyDescent="0.25">
      <c r="A98" s="103">
        <f t="shared" si="11"/>
        <v>97</v>
      </c>
      <c r="B98" s="116" t="s">
        <v>318</v>
      </c>
      <c r="C98" s="89">
        <v>0</v>
      </c>
      <c r="D98" s="113">
        <v>0</v>
      </c>
      <c r="E98" s="89">
        <v>0</v>
      </c>
      <c r="F98" s="89">
        <v>0</v>
      </c>
      <c r="G98" s="89">
        <v>18297.169999999998</v>
      </c>
      <c r="H98" s="89">
        <v>0</v>
      </c>
    </row>
    <row r="99" spans="1:8" ht="18" customHeight="1" x14ac:dyDescent="0.25">
      <c r="A99" s="103">
        <f t="shared" si="11"/>
        <v>98</v>
      </c>
      <c r="B99" s="116" t="s">
        <v>321</v>
      </c>
      <c r="C99" s="89">
        <v>0</v>
      </c>
      <c r="D99" s="113">
        <v>0</v>
      </c>
      <c r="E99" s="89">
        <v>0</v>
      </c>
      <c r="F99" s="89">
        <v>0</v>
      </c>
      <c r="G99" s="89">
        <v>7473.05</v>
      </c>
      <c r="H99" s="89">
        <v>0</v>
      </c>
    </row>
    <row r="100" spans="1:8" ht="18" customHeight="1" x14ac:dyDescent="0.25">
      <c r="A100" s="103">
        <f t="shared" si="11"/>
        <v>99</v>
      </c>
      <c r="B100" s="116" t="s">
        <v>322</v>
      </c>
      <c r="C100" s="89">
        <v>0</v>
      </c>
      <c r="D100" s="113">
        <v>0</v>
      </c>
      <c r="E100" s="89">
        <v>0</v>
      </c>
      <c r="F100" s="89">
        <v>0</v>
      </c>
      <c r="G100" s="89">
        <v>8500</v>
      </c>
      <c r="H100" s="89">
        <v>0</v>
      </c>
    </row>
    <row r="101" spans="1:8" ht="18" customHeight="1" x14ac:dyDescent="0.25">
      <c r="A101" s="103">
        <f t="shared" si="11"/>
        <v>100</v>
      </c>
      <c r="B101" s="100" t="s">
        <v>208</v>
      </c>
      <c r="C101" s="117">
        <f t="shared" ref="C101:H101" si="17">SUM(C96:C100)</f>
        <v>1750</v>
      </c>
      <c r="D101" s="118">
        <f t="shared" si="17"/>
        <v>1750</v>
      </c>
      <c r="E101" s="117">
        <f t="shared" si="17"/>
        <v>6493.14</v>
      </c>
      <c r="F101" s="117">
        <f t="shared" si="17"/>
        <v>1750</v>
      </c>
      <c r="G101" s="117">
        <f t="shared" si="17"/>
        <v>34270.22</v>
      </c>
      <c r="H101" s="117">
        <f t="shared" si="17"/>
        <v>1750</v>
      </c>
    </row>
    <row r="102" spans="1:8" ht="18" customHeight="1" x14ac:dyDescent="0.25">
      <c r="A102" s="103">
        <f t="shared" si="11"/>
        <v>101</v>
      </c>
      <c r="B102" s="112"/>
      <c r="C102" s="105"/>
      <c r="D102" s="106"/>
      <c r="E102" s="105"/>
      <c r="F102" s="105"/>
      <c r="G102" s="105"/>
      <c r="H102" s="89"/>
    </row>
    <row r="103" spans="1:8" ht="18" customHeight="1" x14ac:dyDescent="0.25">
      <c r="A103" s="103">
        <f t="shared" si="11"/>
        <v>102</v>
      </c>
      <c r="B103" s="109" t="s">
        <v>162</v>
      </c>
      <c r="C103" s="105"/>
      <c r="D103" s="106"/>
      <c r="E103" s="105"/>
      <c r="F103" s="105"/>
      <c r="G103" s="105"/>
      <c r="H103" s="89"/>
    </row>
    <row r="104" spans="1:8" ht="18" customHeight="1" x14ac:dyDescent="0.25">
      <c r="A104" s="103">
        <f t="shared" si="11"/>
        <v>103</v>
      </c>
      <c r="B104" s="121" t="s">
        <v>161</v>
      </c>
      <c r="C104" s="90">
        <v>164000</v>
      </c>
      <c r="D104" s="111">
        <v>154000</v>
      </c>
      <c r="E104" s="90">
        <v>154000</v>
      </c>
      <c r="F104" s="90">
        <v>154000</v>
      </c>
      <c r="G104" s="90">
        <v>77600</v>
      </c>
      <c r="H104" s="90">
        <v>77600</v>
      </c>
    </row>
    <row r="105" spans="1:8" ht="18" customHeight="1" x14ac:dyDescent="0.25">
      <c r="A105" s="103">
        <f t="shared" si="11"/>
        <v>104</v>
      </c>
      <c r="B105" s="115" t="s">
        <v>305</v>
      </c>
      <c r="C105" s="89">
        <v>0</v>
      </c>
      <c r="D105" s="113">
        <v>0</v>
      </c>
      <c r="E105" s="89">
        <v>40000</v>
      </c>
      <c r="F105" s="89">
        <v>40000</v>
      </c>
      <c r="G105" s="89">
        <v>0</v>
      </c>
      <c r="H105" s="89">
        <v>0</v>
      </c>
    </row>
    <row r="106" spans="1:8" ht="18" customHeight="1" x14ac:dyDescent="0.25">
      <c r="A106" s="103">
        <f t="shared" si="11"/>
        <v>105</v>
      </c>
      <c r="B106" s="112" t="s">
        <v>160</v>
      </c>
      <c r="C106" s="89">
        <v>200000</v>
      </c>
      <c r="D106" s="113">
        <v>200000</v>
      </c>
      <c r="E106" s="89">
        <v>100000</v>
      </c>
      <c r="F106" s="89">
        <v>100000</v>
      </c>
      <c r="G106" s="89">
        <v>300000</v>
      </c>
      <c r="H106" s="89">
        <v>300000</v>
      </c>
    </row>
    <row r="107" spans="1:8" ht="18" customHeight="1" x14ac:dyDescent="0.25">
      <c r="A107" s="103">
        <f t="shared" si="11"/>
        <v>106</v>
      </c>
      <c r="B107" s="100" t="s">
        <v>159</v>
      </c>
      <c r="C107" s="117">
        <f t="shared" ref="C107:D107" si="18">SUM(C104:C106)</f>
        <v>364000</v>
      </c>
      <c r="D107" s="118">
        <f t="shared" si="18"/>
        <v>354000</v>
      </c>
      <c r="E107" s="117">
        <f t="shared" ref="E107:G107" si="19">SUM(E104:E106)</f>
        <v>294000</v>
      </c>
      <c r="F107" s="117">
        <f>SUM(F104:F106)</f>
        <v>294000</v>
      </c>
      <c r="G107" s="117">
        <f t="shared" si="19"/>
        <v>377600</v>
      </c>
      <c r="H107" s="117">
        <f>SUM(H104:H106)</f>
        <v>377600</v>
      </c>
    </row>
    <row r="108" spans="1:8" ht="18" customHeight="1" x14ac:dyDescent="0.25">
      <c r="A108" s="103">
        <f t="shared" si="11"/>
        <v>107</v>
      </c>
      <c r="B108" s="119"/>
      <c r="C108" s="105"/>
      <c r="D108" s="106"/>
      <c r="E108" s="105"/>
      <c r="F108" s="105"/>
      <c r="G108" s="105"/>
      <c r="H108" s="120"/>
    </row>
    <row r="109" spans="1:8" ht="18" customHeight="1" x14ac:dyDescent="0.25">
      <c r="A109" s="103">
        <f t="shared" si="11"/>
        <v>108</v>
      </c>
      <c r="B109" s="100" t="s">
        <v>210</v>
      </c>
      <c r="C109" s="30">
        <f t="shared" ref="C109:H109" si="20">C35+C42+C58+C74+C78+C86+C93+C101+C107</f>
        <v>1257072.7807575483</v>
      </c>
      <c r="D109" s="74">
        <f t="shared" si="20"/>
        <v>1192991.71</v>
      </c>
      <c r="E109" s="30">
        <f t="shared" si="20"/>
        <v>1067616.4899999998</v>
      </c>
      <c r="F109" s="30">
        <f t="shared" si="20"/>
        <v>1058835</v>
      </c>
      <c r="G109" s="30">
        <f t="shared" si="20"/>
        <v>1102153.6200000001</v>
      </c>
      <c r="H109" s="30">
        <f t="shared" si="20"/>
        <v>1099800</v>
      </c>
    </row>
    <row r="110" spans="1:8" ht="18" customHeight="1" x14ac:dyDescent="0.25">
      <c r="A110" s="103">
        <f t="shared" si="11"/>
        <v>109</v>
      </c>
      <c r="B110" s="143"/>
      <c r="C110" s="105"/>
      <c r="D110" s="106"/>
      <c r="E110" s="105"/>
      <c r="F110" s="105"/>
      <c r="G110" s="105"/>
      <c r="H110" s="89"/>
    </row>
    <row r="111" spans="1:8" ht="30" x14ac:dyDescent="0.25">
      <c r="A111" s="103">
        <f t="shared" si="11"/>
        <v>110</v>
      </c>
      <c r="B111" s="144" t="s">
        <v>212</v>
      </c>
      <c r="C111" s="145">
        <f t="shared" ref="C111:H111" si="21">C18-C109</f>
        <v>-20050</v>
      </c>
      <c r="D111" s="146">
        <f t="shared" si="21"/>
        <v>-82078.839999999851</v>
      </c>
      <c r="E111" s="145">
        <f t="shared" si="21"/>
        <v>-46019.779999999679</v>
      </c>
      <c r="F111" s="145">
        <f t="shared" si="21"/>
        <v>-66069.779999999795</v>
      </c>
      <c r="G111" s="145">
        <f t="shared" si="21"/>
        <v>31119.619999999879</v>
      </c>
      <c r="H111" s="145">
        <f t="shared" si="21"/>
        <v>-50959.219999999972</v>
      </c>
    </row>
    <row r="112" spans="1:8" ht="18" customHeight="1" x14ac:dyDescent="0.25">
      <c r="A112" s="103">
        <f t="shared" si="11"/>
        <v>111</v>
      </c>
      <c r="B112" s="109"/>
      <c r="C112" s="105"/>
      <c r="D112" s="106"/>
      <c r="E112" s="105"/>
      <c r="F112" s="105"/>
      <c r="G112" s="105"/>
      <c r="H112" s="120"/>
    </row>
    <row r="113" spans="1:8" ht="18" customHeight="1" x14ac:dyDescent="0.25">
      <c r="A113" s="103">
        <f t="shared" si="11"/>
        <v>112</v>
      </c>
      <c r="B113" s="147" t="s">
        <v>211</v>
      </c>
      <c r="C113" s="148">
        <f>D114</f>
        <v>20050</v>
      </c>
      <c r="D113" s="149">
        <f>E114</f>
        <v>102128.83999999997</v>
      </c>
      <c r="E113" s="150">
        <f>G114</f>
        <v>148148.61999999965</v>
      </c>
      <c r="F113" s="151">
        <f>G114</f>
        <v>148148.61999999965</v>
      </c>
      <c r="G113" s="150">
        <v>117028.99999999977</v>
      </c>
      <c r="H113" s="152"/>
    </row>
    <row r="114" spans="1:8" ht="18" customHeight="1" x14ac:dyDescent="0.25">
      <c r="A114" s="103">
        <f t="shared" si="11"/>
        <v>113</v>
      </c>
      <c r="B114" s="104" t="s">
        <v>281</v>
      </c>
      <c r="C114" s="153">
        <f>C113+C111</f>
        <v>0</v>
      </c>
      <c r="D114" s="154">
        <f>ROUND(D113+D111,2)</f>
        <v>20050</v>
      </c>
      <c r="E114" s="155">
        <f>E113+E111</f>
        <v>102128.83999999997</v>
      </c>
      <c r="F114" s="156">
        <f>F113+F111</f>
        <v>82078.839999999851</v>
      </c>
      <c r="G114" s="155">
        <f>G113+G111</f>
        <v>148148.61999999965</v>
      </c>
      <c r="H114" s="157"/>
    </row>
    <row r="115" spans="1:8" ht="18" customHeight="1" x14ac:dyDescent="0.25">
      <c r="A115" s="103">
        <f t="shared" si="11"/>
        <v>114</v>
      </c>
      <c r="B115" s="158" t="s">
        <v>274</v>
      </c>
      <c r="C115" s="151">
        <f>C114-C113</f>
        <v>-20050</v>
      </c>
      <c r="D115" s="149">
        <f>D114-D113</f>
        <v>-82078.839999999967</v>
      </c>
      <c r="E115" s="159">
        <f>E114-E113</f>
        <v>-46019.779999999679</v>
      </c>
      <c r="F115" s="151">
        <f>F114-F113</f>
        <v>-66069.779999999795</v>
      </c>
      <c r="G115" s="159">
        <f>G114-G113</f>
        <v>31119.619999999879</v>
      </c>
      <c r="H115" s="152"/>
    </row>
    <row r="116" spans="1:8" ht="18" customHeight="1" x14ac:dyDescent="0.25">
      <c r="A116" s="103">
        <f t="shared" si="11"/>
        <v>115</v>
      </c>
      <c r="B116" s="160"/>
      <c r="C116" s="105"/>
      <c r="D116" s="106"/>
      <c r="E116" s="89"/>
      <c r="F116" s="89"/>
      <c r="G116" s="89"/>
      <c r="H116" s="89"/>
    </row>
    <row r="117" spans="1:8" ht="30" customHeight="1" x14ac:dyDescent="0.25">
      <c r="A117" s="103">
        <f t="shared" si="11"/>
        <v>116</v>
      </c>
      <c r="B117" s="213" t="str">
        <f>CONCATENATE(B118,ROW(C111)-1,".")</f>
        <v>* $82,079 of the FY 2021 ending Highway Fund Balance was assigned to reduce taxes to be raised in FY 2023. As a result, the unassigned FY 2022 ending Highway Fund Balance was $20,050, which amount is proposed to be used to offset highway expenditures in FY 2024.  See Line 110.</v>
      </c>
      <c r="C117" s="214"/>
      <c r="D117" s="214"/>
      <c r="E117" s="214"/>
      <c r="F117" s="214"/>
      <c r="G117" s="214"/>
      <c r="H117" s="214"/>
    </row>
    <row r="118" spans="1:8" ht="18" customHeight="1" x14ac:dyDescent="0.25">
      <c r="B118" s="49" t="s">
        <v>354</v>
      </c>
    </row>
    <row r="119" spans="1:8" ht="18" customHeight="1" x14ac:dyDescent="0.25"/>
    <row r="120" spans="1:8" ht="18" customHeight="1" x14ac:dyDescent="0.25"/>
    <row r="121" spans="1:8" ht="18" customHeight="1" x14ac:dyDescent="0.25"/>
    <row r="123" spans="1:8" ht="18" customHeight="1" x14ac:dyDescent="0.25"/>
    <row r="124" spans="1:8" ht="18" customHeight="1" x14ac:dyDescent="0.25"/>
    <row r="125" spans="1:8" ht="18" customHeight="1" x14ac:dyDescent="0.25"/>
    <row r="126" spans="1:8" ht="18" customHeight="1" x14ac:dyDescent="0.25"/>
  </sheetData>
  <mergeCells count="1">
    <mergeCell ref="B117:H117"/>
  </mergeCells>
  <printOptions horizontalCentered="1"/>
  <pageMargins left="0.5" right="0.5" top="1.2" bottom="0.5" header="0.3" footer="0.3"/>
  <pageSetup scale="75" fitToHeight="0" orientation="portrait" r:id="rId1"/>
  <headerFooter>
    <oddHeader>&amp;C&amp;"-,Bold"&amp;13Town of Pomfret&amp;"-,Regular"&amp;12
&amp;11Highway Account Detail&amp;R&amp;11As approved January 18, 2023</oddHeader>
    <oddFooter>&amp;R&amp;11Page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EE25-087E-4F9A-A62E-35C1DE5111DD}">
  <sheetPr>
    <pageSetUpPr fitToPage="1"/>
  </sheetPr>
  <dimension ref="A1:I24"/>
  <sheetViews>
    <sheetView zoomScale="75" zoomScaleNormal="75" zoomScaleSheetLayoutView="100" workbookViewId="0"/>
  </sheetViews>
  <sheetFormatPr defaultRowHeight="15" x14ac:dyDescent="0.25"/>
  <cols>
    <col min="1" max="1" width="4.625" style="56" customWidth="1"/>
    <col min="2" max="2" width="60.25" style="54" customWidth="1"/>
    <col min="3" max="3" width="13" style="55" customWidth="1"/>
    <col min="4" max="4" width="60.375" style="54" customWidth="1"/>
    <col min="5" max="5" width="4.75" style="54" customWidth="1"/>
    <col min="6" max="6" width="9" style="54"/>
    <col min="7" max="7" width="41" style="54" hidden="1" customWidth="1"/>
    <col min="8" max="8" width="12.875" style="80" hidden="1" customWidth="1"/>
    <col min="9" max="9" width="0" style="54" hidden="1" customWidth="1"/>
    <col min="10" max="16384" width="9" style="54"/>
  </cols>
  <sheetData>
    <row r="1" spans="1:9" s="64" customFormat="1" ht="18" customHeight="1" x14ac:dyDescent="0.25">
      <c r="A1" s="68"/>
      <c r="B1" s="67" t="s">
        <v>256</v>
      </c>
      <c r="C1" s="66" t="s">
        <v>257</v>
      </c>
      <c r="D1" s="65" t="s">
        <v>258</v>
      </c>
      <c r="E1" s="81"/>
      <c r="H1" s="78"/>
    </row>
    <row r="2" spans="1:9" ht="18" customHeight="1" x14ac:dyDescent="0.25">
      <c r="B2" s="63"/>
      <c r="C2" s="76"/>
      <c r="D2" s="62"/>
      <c r="H2" s="79" t="s">
        <v>366</v>
      </c>
    </row>
    <row r="3" spans="1:9" ht="18" customHeight="1" x14ac:dyDescent="0.25">
      <c r="A3" s="56">
        <v>1</v>
      </c>
      <c r="B3" s="16" t="s">
        <v>267</v>
      </c>
      <c r="C3" s="60"/>
      <c r="D3" s="61"/>
      <c r="G3" s="16" t="s">
        <v>267</v>
      </c>
    </row>
    <row r="4" spans="1:9" ht="18" customHeight="1" x14ac:dyDescent="0.25">
      <c r="A4" s="56">
        <f t="shared" ref="A4:A19" si="0">A3+1</f>
        <v>2</v>
      </c>
      <c r="B4" s="58" t="str">
        <f>PROPER('General Account Summary'!B46)</f>
        <v>Total Town Expenditures</v>
      </c>
      <c r="C4" s="57">
        <f>'General Account Detail'!C242</f>
        <v>509370.74</v>
      </c>
      <c r="D4" s="53" t="str">
        <f>CONCATENATE("From General Account Detail, Line ",ROW('General Account Detail'!F242)-1,".  See also Warning Article 3.")</f>
        <v>From General Account Detail, Line 241.  See also Warning Article 3.</v>
      </c>
      <c r="E4" s="82"/>
      <c r="G4" s="58" t="s">
        <v>355</v>
      </c>
      <c r="H4" s="80">
        <v>441137</v>
      </c>
      <c r="I4" s="54" t="s">
        <v>356</v>
      </c>
    </row>
    <row r="5" spans="1:9" ht="18" customHeight="1" x14ac:dyDescent="0.25">
      <c r="A5" s="56">
        <f t="shared" si="0"/>
        <v>3</v>
      </c>
      <c r="B5" s="58" t="str">
        <f>PROPER('Highway Account Summary'!B30)</f>
        <v>Total Highway Expenditures</v>
      </c>
      <c r="C5" s="57">
        <f>'Highway Account Detail'!C109</f>
        <v>1257072.7807575483</v>
      </c>
      <c r="D5" s="17" t="str">
        <f>CONCATENATE("From Highway Account Detail, Line ",ROW('Highway Account Detail'!F109)-1,".  See also Warning Article 3.")</f>
        <v>From Highway Account Detail, Line 108.  See also Warning Article 3.</v>
      </c>
      <c r="E5" s="82"/>
      <c r="G5" s="58" t="s">
        <v>357</v>
      </c>
      <c r="H5" s="80">
        <v>1192991.7122718659</v>
      </c>
      <c r="I5" s="54" t="s">
        <v>358</v>
      </c>
    </row>
    <row r="6" spans="1:9" ht="18" customHeight="1" x14ac:dyDescent="0.25">
      <c r="A6" s="56">
        <f t="shared" si="0"/>
        <v>4</v>
      </c>
      <c r="B6" s="58" t="str">
        <f>PROPER('General Account Summary'!B48)</f>
        <v>Total Voted Appropriations</v>
      </c>
      <c r="C6" s="57">
        <f>'General Account Detail'!C263</f>
        <v>70829</v>
      </c>
      <c r="D6" s="17" t="str">
        <f>CONCATENATE("From General Account Detail, Line ",ROW('General Account Detail'!F263)-1,".  See also Warning Articles 4 through 14.")</f>
        <v>From General Account Detail, Line 262.  See also Warning Articles 4 through 14.</v>
      </c>
      <c r="E6" s="82"/>
      <c r="G6" s="58" t="s">
        <v>359</v>
      </c>
      <c r="H6" s="87">
        <v>129329</v>
      </c>
      <c r="I6" s="54" t="s">
        <v>360</v>
      </c>
    </row>
    <row r="7" spans="1:9" ht="18" customHeight="1" x14ac:dyDescent="0.25">
      <c r="A7" s="56">
        <f t="shared" si="0"/>
        <v>5</v>
      </c>
      <c r="B7" s="37" t="s">
        <v>268</v>
      </c>
      <c r="C7" s="12">
        <f>SUM(C4:C6)</f>
        <v>1837272.5207575483</v>
      </c>
      <c r="D7" s="48" t="s">
        <v>265</v>
      </c>
      <c r="E7" s="83"/>
      <c r="G7" s="37" t="s">
        <v>268</v>
      </c>
      <c r="H7" s="80">
        <f>SUM(H4:H6)</f>
        <v>1763457.7122718659</v>
      </c>
      <c r="I7" s="54" t="s">
        <v>265</v>
      </c>
    </row>
    <row r="8" spans="1:9" ht="18" customHeight="1" x14ac:dyDescent="0.25">
      <c r="A8" s="56">
        <f t="shared" si="0"/>
        <v>6</v>
      </c>
      <c r="B8" s="58"/>
      <c r="C8" s="57"/>
      <c r="D8" s="58"/>
      <c r="E8" s="84"/>
      <c r="G8" s="58"/>
    </row>
    <row r="9" spans="1:9" ht="18" customHeight="1" x14ac:dyDescent="0.25">
      <c r="A9" s="56">
        <f t="shared" si="0"/>
        <v>7</v>
      </c>
      <c r="B9" s="16" t="s">
        <v>259</v>
      </c>
      <c r="C9" s="60"/>
      <c r="D9" s="59"/>
      <c r="E9" s="84"/>
      <c r="G9" s="16" t="s">
        <v>259</v>
      </c>
    </row>
    <row r="10" spans="1:9" ht="18" customHeight="1" x14ac:dyDescent="0.25">
      <c r="A10" s="56">
        <f t="shared" si="0"/>
        <v>8</v>
      </c>
      <c r="B10" s="58" t="str">
        <f>CONCATENATE(PROPER('General Account Summary'!B25)," (excluding FY 2024 taxes to be raised)")</f>
        <v>Total Town Revenues (excluding FY 2024 taxes to be raised)</v>
      </c>
      <c r="C10" s="57">
        <f>'General Account Detail'!C71-'General Account Detail'!C11</f>
        <v>366696</v>
      </c>
      <c r="D10" s="17" t="str">
        <f>CONCATENATE("From General Account Detail, Line ",ROW('General Account Detail'!F71)-1,", minus General Account Detail, Line ",ROW('General Account Detail'!F11)-1,".")</f>
        <v>From General Account Detail, Line 70, minus General Account Detail, Line 10.</v>
      </c>
      <c r="E10" s="82"/>
      <c r="G10" s="85" t="s">
        <v>367</v>
      </c>
      <c r="H10" s="80">
        <v>340285</v>
      </c>
      <c r="I10" s="54" t="s">
        <v>361</v>
      </c>
    </row>
    <row r="11" spans="1:9" ht="18" customHeight="1" x14ac:dyDescent="0.25">
      <c r="A11" s="56">
        <f t="shared" si="0"/>
        <v>9</v>
      </c>
      <c r="B11" s="58" t="str">
        <f>CONCATENATE(PROPER('Highway Account Summary'!B17)," (excluding FY 2024 taxes to be raised)")</f>
        <v>Total Highway Revenues (excluding FY 2024 taxes to be raised)</v>
      </c>
      <c r="C11" s="57">
        <f>'Highway Account Detail'!C18-'Highway Account Detail'!C6</f>
        <v>177663.10999999987</v>
      </c>
      <c r="D11" s="17" t="str">
        <f>CONCATENATE("From Highway Account Detail, Line ",ROW('Highway Account Detail'!F18)-1,", minus Highway Account Detail, Line ",ROW('Highway Account Detail'!F6)-1,".")</f>
        <v>From Highway Account Detail, Line 17, minus Highway Account Detail, Line 5.</v>
      </c>
      <c r="E11" s="82"/>
      <c r="G11" s="85" t="s">
        <v>368</v>
      </c>
      <c r="H11" s="80">
        <v>151400</v>
      </c>
      <c r="I11" s="54" t="s">
        <v>362</v>
      </c>
    </row>
    <row r="12" spans="1:9" ht="18" customHeight="1" x14ac:dyDescent="0.25">
      <c r="A12" s="56">
        <f t="shared" si="0"/>
        <v>10</v>
      </c>
      <c r="B12" s="70" t="s">
        <v>337</v>
      </c>
      <c r="C12" s="57">
        <f>-'General Account Detail'!C267</f>
        <v>145375.08136311965</v>
      </c>
      <c r="D12" s="17" t="str">
        <f>CONCATENATE("From General Account Detail, Line ",ROW('General Account Detail'!F267)-1,".  See also Warning Article 15.")</f>
        <v>From General Account Detail, Line 266.  See also Warning Article 15.</v>
      </c>
      <c r="E12" s="82"/>
      <c r="G12" s="85" t="s">
        <v>369</v>
      </c>
      <c r="H12" s="80">
        <v>121867</v>
      </c>
      <c r="I12" s="54" t="s">
        <v>363</v>
      </c>
    </row>
    <row r="13" spans="1:9" ht="18" customHeight="1" x14ac:dyDescent="0.25">
      <c r="A13" s="56">
        <f t="shared" si="0"/>
        <v>11</v>
      </c>
      <c r="B13" s="70" t="s">
        <v>338</v>
      </c>
      <c r="C13" s="57">
        <f>-'Highway Account Detail'!C111</f>
        <v>20050</v>
      </c>
      <c r="D13" s="17" t="str">
        <f>CONCATENATE("From Highway Account Detail, Line ",ROW('Highway Account Detail'!F111)-1,".")</f>
        <v>From Highway Account Detail, Line 110.</v>
      </c>
      <c r="E13" s="82"/>
      <c r="G13" s="85" t="s">
        <v>370</v>
      </c>
      <c r="H13" s="87">
        <v>82079</v>
      </c>
      <c r="I13" s="54" t="s">
        <v>364</v>
      </c>
    </row>
    <row r="14" spans="1:9" ht="18" customHeight="1" x14ac:dyDescent="0.25">
      <c r="A14" s="56">
        <f t="shared" si="0"/>
        <v>12</v>
      </c>
      <c r="B14" s="31" t="s">
        <v>260</v>
      </c>
      <c r="C14" s="12">
        <f>SUM(C10:C13)</f>
        <v>709784.19136311952</v>
      </c>
      <c r="D14" s="48" t="s">
        <v>278</v>
      </c>
      <c r="E14" s="83"/>
      <c r="G14" s="31" t="s">
        <v>260</v>
      </c>
      <c r="H14" s="80">
        <f>SUM(H10:H13)</f>
        <v>695631</v>
      </c>
      <c r="I14" s="54" t="s">
        <v>278</v>
      </c>
    </row>
    <row r="15" spans="1:9" ht="18" customHeight="1" x14ac:dyDescent="0.25">
      <c r="A15" s="56">
        <f t="shared" si="0"/>
        <v>13</v>
      </c>
      <c r="B15" s="58"/>
      <c r="C15" s="57"/>
      <c r="D15" s="58"/>
      <c r="E15" s="84"/>
      <c r="G15" s="58"/>
    </row>
    <row r="16" spans="1:9" ht="18" customHeight="1" x14ac:dyDescent="0.25">
      <c r="A16" s="56">
        <f t="shared" si="0"/>
        <v>14</v>
      </c>
      <c r="B16" s="16" t="s">
        <v>271</v>
      </c>
      <c r="C16" s="60"/>
      <c r="D16" s="59"/>
      <c r="E16" s="84"/>
      <c r="G16" s="16" t="s">
        <v>271</v>
      </c>
    </row>
    <row r="17" spans="1:9" ht="18" customHeight="1" x14ac:dyDescent="0.25">
      <c r="A17" s="56">
        <f t="shared" si="0"/>
        <v>15</v>
      </c>
      <c r="B17" s="58" t="str">
        <f>B3</f>
        <v>Expenditures and Voted Appropriations</v>
      </c>
      <c r="C17" s="57">
        <f>C7</f>
        <v>1837272.5207575483</v>
      </c>
      <c r="D17" s="17" t="s">
        <v>266</v>
      </c>
      <c r="E17" s="82"/>
      <c r="G17" s="58" t="s">
        <v>267</v>
      </c>
      <c r="H17" s="80">
        <f>H7</f>
        <v>1763457.7122718659</v>
      </c>
      <c r="I17" s="54" t="s">
        <v>266</v>
      </c>
    </row>
    <row r="18" spans="1:9" ht="18" customHeight="1" x14ac:dyDescent="0.25">
      <c r="A18" s="56">
        <f t="shared" si="0"/>
        <v>16</v>
      </c>
      <c r="B18" s="58" t="str">
        <f>B9</f>
        <v>Non-Tax Revenues</v>
      </c>
      <c r="C18" s="57">
        <f>C14</f>
        <v>709784.19136311952</v>
      </c>
      <c r="D18" s="17" t="s">
        <v>279</v>
      </c>
      <c r="E18" s="82"/>
      <c r="G18" s="58" t="s">
        <v>259</v>
      </c>
      <c r="H18" s="87">
        <f>H14</f>
        <v>695631</v>
      </c>
      <c r="I18" s="54" t="s">
        <v>279</v>
      </c>
    </row>
    <row r="19" spans="1:9" ht="18" customHeight="1" x14ac:dyDescent="0.25">
      <c r="A19" s="56">
        <f t="shared" si="0"/>
        <v>17</v>
      </c>
      <c r="B19" s="31" t="s">
        <v>339</v>
      </c>
      <c r="C19" s="12">
        <f>C17-C18</f>
        <v>1127488.3293944288</v>
      </c>
      <c r="D19" s="48" t="str">
        <f>CONCATENATE("Difference between Lines 15 and 16.  See also General Account Detail, Line ",ROW('General Account Detail'!F6)-1,".")</f>
        <v>Difference between Lines 15 and 16.  See also General Account Detail, Line 5.</v>
      </c>
      <c r="E19" s="83"/>
      <c r="G19" s="31" t="s">
        <v>371</v>
      </c>
      <c r="H19" s="80">
        <f>H17-H18</f>
        <v>1067826.7122718659</v>
      </c>
      <c r="I19" s="54" t="s">
        <v>365</v>
      </c>
    </row>
    <row r="21" spans="1:9" x14ac:dyDescent="0.25">
      <c r="C21" s="77"/>
      <c r="H21" s="79" t="s">
        <v>366</v>
      </c>
    </row>
    <row r="24" spans="1:9" x14ac:dyDescent="0.25">
      <c r="B24" s="86"/>
      <c r="G24" s="86" t="s">
        <v>372</v>
      </c>
      <c r="H24" s="80">
        <f>H13+H12</f>
        <v>203946</v>
      </c>
    </row>
  </sheetData>
  <printOptions horizontalCentered="1"/>
  <pageMargins left="0.5" right="0.5" top="0.75" bottom="0.5" header="0.3" footer="0.3"/>
  <pageSetup scale="63" fitToHeight="0" orientation="portrait" r:id="rId1"/>
  <headerFooter>
    <oddHeader>&amp;C&amp;"-,Bold"&amp;13Town of Pomfret&amp;"-,Regular"&amp;12
&amp;11Calculation of Current Year Taxes to be Raised&amp;R&amp;11As approved January 18, 2023</oddHeader>
    <oddFooter>&amp;R&amp;11Page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General Account Summary</vt:lpstr>
      <vt:lpstr>Highway Account Summary</vt:lpstr>
      <vt:lpstr>General Account Detail</vt:lpstr>
      <vt:lpstr>Highway Account Detail</vt:lpstr>
      <vt:lpstr>Calculation of FY 2024 Tax</vt:lpstr>
      <vt:lpstr>'Calculation of FY 2024 Tax'!Print_Area</vt:lpstr>
      <vt:lpstr>'General Account Detail'!Print_Area</vt:lpstr>
      <vt:lpstr>'General Account Summary'!Print_Area</vt:lpstr>
      <vt:lpstr>'Highway Account Detail'!Print_Area</vt:lpstr>
      <vt:lpstr>'Highway Account Summary'!Print_Area</vt:lpstr>
      <vt:lpstr>'General Account Detail'!Print_Titles</vt:lpstr>
      <vt:lpstr>'General Account Summary'!Print_Titles</vt:lpstr>
      <vt:lpstr>'Highway Account Detail'!Print_Titles</vt:lpstr>
      <vt:lpstr>'Highway Account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Matthews</dc:creator>
  <cp:lastModifiedBy>Benjamin Brickner</cp:lastModifiedBy>
  <cp:lastPrinted>2023-01-19T05:15:07Z</cp:lastPrinted>
  <dcterms:created xsi:type="dcterms:W3CDTF">2019-01-29T17:11:05Z</dcterms:created>
  <dcterms:modified xsi:type="dcterms:W3CDTF">2023-11-27T18:14:51Z</dcterms:modified>
</cp:coreProperties>
</file>